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D984E57B-BB8B-4D99-9620-2501F6070DF4}" xr6:coauthVersionLast="45" xr6:coauthVersionMax="45" xr10:uidLastSave="{00000000-0000-0000-0000-000000000000}"/>
  <bookViews>
    <workbookView xWindow="-120" yWindow="-120" windowWidth="20730" windowHeight="11160" firstSheet="8" activeTab="8" xr2:uid="{00000000-000D-0000-FFFF-FFFF00000000}"/>
  </bookViews>
  <sheets>
    <sheet name="Plan Estratégico Institucio (2)" sheetId="7" state="hidden" r:id="rId1"/>
    <sheet name="Plan Estratégico Institucio (3)" sheetId="8" state="hidden" r:id="rId2"/>
    <sheet name="Hoja2" sheetId="5" state="hidden" r:id="rId3"/>
    <sheet name="Hoja1" sheetId="4" state="hidden" r:id="rId4"/>
    <sheet name="Plan Estratégico Institucional" sheetId="1" r:id="rId5"/>
    <sheet name="Hoja5" sheetId="11" state="hidden" r:id="rId6"/>
    <sheet name="OBJ ESTR" sheetId="2" state="hidden" r:id="rId7"/>
    <sheet name="Cumplimiento Metas Estrategicas" sheetId="21" r:id="rId8"/>
    <sheet name="Grado Cumplimiento Objetivos" sheetId="9" r:id="rId9"/>
    <sheet name="Analisis" sheetId="22" r:id="rId10"/>
    <sheet name="Objetivo 1" sheetId="13" r:id="rId11"/>
    <sheet name="Objetivo 2" sheetId="14" r:id="rId12"/>
    <sheet name="Objetivo 3" sheetId="15" r:id="rId13"/>
    <sheet name="Objetivo 4" sheetId="16" r:id="rId14"/>
    <sheet name="Objetivo 5" sheetId="17" r:id="rId15"/>
    <sheet name="Objetivo 6 (2)" sheetId="19" r:id="rId16"/>
    <sheet name="Objetivo 7" sheetId="18" r:id="rId17"/>
    <sheet name="Hoja3" sheetId="20" r:id="rId18"/>
    <sheet name="Resumen PEI" sheetId="3" state="hidden" r:id="rId19"/>
  </sheets>
  <definedNames>
    <definedName name="_xlnm._FilterDatabase" localSheetId="0" hidden="1">'Plan Estratégico Institucio (2)'!$A$5:$AX$27</definedName>
    <definedName name="_xlnm._FilterDatabase" localSheetId="1" hidden="1">'Plan Estratégico Institucio (3)'!$A$4:$BC$16</definedName>
    <definedName name="_xlnm._FilterDatabase" localSheetId="4" hidden="1">'Plan Estratégico Institucional'!$A$4:$BE$24</definedName>
    <definedName name="_xlnm._FilterDatabase" localSheetId="18" hidden="1">'Resumen PEI'!$A$5:$BC$27</definedName>
    <definedName name="_xlnm.Print_Titles" localSheetId="18">'Resumen PEI'!$1:$7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7" l="1"/>
  <c r="C7" i="17"/>
  <c r="D4" i="17"/>
  <c r="D3" i="17"/>
  <c r="BD18" i="1"/>
  <c r="B74" i="16"/>
  <c r="B75" i="16"/>
  <c r="B51" i="16"/>
  <c r="B30" i="15"/>
  <c r="B6" i="15"/>
  <c r="C3" i="15"/>
  <c r="C2" i="15"/>
  <c r="B107" i="14"/>
  <c r="B82" i="14"/>
  <c r="B60" i="14"/>
  <c r="C7" i="14"/>
  <c r="C6" i="14"/>
  <c r="D7" i="14"/>
  <c r="D6" i="14"/>
  <c r="C5" i="14"/>
  <c r="C4" i="14"/>
  <c r="E7" i="9" l="1"/>
  <c r="AN22" i="1"/>
  <c r="AP22" i="1" s="1"/>
  <c r="AR22" i="1" s="1"/>
  <c r="AT22" i="1" s="1"/>
  <c r="AF22" i="1"/>
  <c r="AO14" i="1" l="1"/>
  <c r="AO10" i="1"/>
  <c r="E3" i="9"/>
  <c r="E4" i="9"/>
  <c r="E5" i="9"/>
  <c r="E6" i="9"/>
  <c r="E8" i="9"/>
  <c r="E2" i="9"/>
  <c r="AE10" i="1" l="1"/>
  <c r="AC10" i="1"/>
  <c r="AB10" i="1"/>
  <c r="AA10" i="1"/>
  <c r="I13" i="11"/>
  <c r="I8" i="11"/>
  <c r="Y22" i="1" l="1"/>
  <c r="X22" i="1"/>
  <c r="Q22" i="1"/>
  <c r="P22" i="1"/>
  <c r="AV22" i="1" s="1"/>
  <c r="AO22" i="1"/>
  <c r="AG22" i="1"/>
  <c r="AQ22" i="1" l="1"/>
  <c r="AY22" i="1" s="1"/>
  <c r="AZ22" i="1"/>
  <c r="AX22" i="1"/>
  <c r="BA22" i="1"/>
  <c r="AW22" i="1"/>
  <c r="BB22" i="1" s="1"/>
  <c r="AS22" i="1" l="1"/>
  <c r="AU22" i="1" s="1"/>
  <c r="AK9" i="1"/>
  <c r="AE9" i="1"/>
  <c r="AC9" i="1"/>
  <c r="AA9" i="1"/>
  <c r="AT7" i="1"/>
  <c r="AR7" i="1"/>
  <c r="AP7" i="1"/>
  <c r="AO7" i="1"/>
  <c r="AL7" i="1"/>
  <c r="AJ7" i="1"/>
  <c r="AH7" i="1"/>
  <c r="AE7" i="1"/>
  <c r="AD7" i="1"/>
  <c r="AC7" i="1"/>
  <c r="AB7" i="1"/>
  <c r="AF7" i="1" s="1"/>
  <c r="AA7" i="1"/>
  <c r="AG7" i="1" s="1"/>
  <c r="Z7" i="1"/>
  <c r="W7" i="1"/>
  <c r="V7" i="1"/>
  <c r="U7" i="1"/>
  <c r="T7" i="1"/>
  <c r="S7" i="1"/>
  <c r="Y7" i="1" s="1"/>
  <c r="R7" i="1"/>
  <c r="X7" i="1" s="1"/>
  <c r="O7" i="1"/>
  <c r="N7" i="1"/>
  <c r="M7" i="1"/>
  <c r="L7" i="1"/>
  <c r="P7" i="1" s="1"/>
  <c r="K7" i="1"/>
  <c r="J7" i="1"/>
  <c r="AN7" i="1" l="1"/>
  <c r="Q7" i="1"/>
  <c r="AW7" i="1" s="1"/>
  <c r="AV7" i="1"/>
  <c r="AE13" i="1" l="1"/>
  <c r="AC13" i="1"/>
  <c r="AA13" i="1"/>
  <c r="AE24" i="1"/>
  <c r="AC24" i="1"/>
  <c r="AA24" i="1"/>
  <c r="AE21" i="1"/>
  <c r="AC21" i="1"/>
  <c r="AA21" i="1"/>
  <c r="AO19" i="1"/>
  <c r="AG18" i="1"/>
  <c r="P18" i="1"/>
  <c r="AV18" i="1" s="1"/>
  <c r="AN18" i="1"/>
  <c r="AO18" i="1"/>
  <c r="AF18" i="1"/>
  <c r="Y18" i="1"/>
  <c r="X18" i="1"/>
  <c r="Q18" i="1"/>
  <c r="AE16" i="1"/>
  <c r="AC16" i="1"/>
  <c r="AA16" i="1"/>
  <c r="AX18" i="1" l="1"/>
  <c r="AW18" i="1"/>
  <c r="BA18" i="1"/>
  <c r="AO16" i="8"/>
  <c r="AL16" i="8"/>
  <c r="AJ16" i="8"/>
  <c r="AH16" i="8"/>
  <c r="AN16" i="8" s="1"/>
  <c r="AG16" i="8"/>
  <c r="AD16" i="8"/>
  <c r="AB16" i="8"/>
  <c r="Z16" i="8"/>
  <c r="AF16" i="8" s="1"/>
  <c r="W16" i="8"/>
  <c r="V16" i="8"/>
  <c r="U16" i="8"/>
  <c r="T16" i="8"/>
  <c r="X16" i="8" s="1"/>
  <c r="S16" i="8"/>
  <c r="R16" i="8"/>
  <c r="O16" i="8"/>
  <c r="N16" i="8"/>
  <c r="M16" i="8"/>
  <c r="L16" i="8"/>
  <c r="K16" i="8"/>
  <c r="J16" i="8"/>
  <c r="AO15" i="8"/>
  <c r="AL15" i="8"/>
  <c r="AJ15" i="8"/>
  <c r="AH15" i="8"/>
  <c r="AG15" i="8"/>
  <c r="AD15" i="8"/>
  <c r="AB15" i="8"/>
  <c r="Z15" i="8"/>
  <c r="Y15" i="8"/>
  <c r="X15" i="8"/>
  <c r="Q15" i="8"/>
  <c r="P15" i="8"/>
  <c r="AO14" i="8"/>
  <c r="AL14" i="8"/>
  <c r="AJ14" i="8"/>
  <c r="AH14" i="8"/>
  <c r="AG14" i="8"/>
  <c r="AD14" i="8"/>
  <c r="AB14" i="8"/>
  <c r="Z14" i="8"/>
  <c r="AF14" i="8" s="1"/>
  <c r="W14" i="8"/>
  <c r="V14" i="8"/>
  <c r="U14" i="8"/>
  <c r="BA14" i="8" s="1"/>
  <c r="T14" i="8"/>
  <c r="S14" i="8"/>
  <c r="AY14" i="8" s="1"/>
  <c r="R14" i="8"/>
  <c r="O14" i="8"/>
  <c r="N14" i="8"/>
  <c r="M14" i="8"/>
  <c r="L14" i="8"/>
  <c r="K14" i="8"/>
  <c r="J14" i="8"/>
  <c r="AO13" i="8"/>
  <c r="AN13" i="8"/>
  <c r="AG13" i="8"/>
  <c r="AF13" i="8"/>
  <c r="Y13" i="8"/>
  <c r="X13" i="8"/>
  <c r="Q13" i="8"/>
  <c r="P13" i="8"/>
  <c r="AO12" i="8"/>
  <c r="AN12" i="8"/>
  <c r="AG12" i="8"/>
  <c r="AF12" i="8"/>
  <c r="Y12" i="8"/>
  <c r="X12" i="8"/>
  <c r="Q12" i="8"/>
  <c r="P12" i="8"/>
  <c r="AO11" i="8"/>
  <c r="AN11" i="8"/>
  <c r="AG11" i="8"/>
  <c r="AF11" i="8"/>
  <c r="Y11" i="8"/>
  <c r="X11" i="8"/>
  <c r="Q11" i="8"/>
  <c r="P11" i="8"/>
  <c r="AN10" i="8"/>
  <c r="AM10" i="8"/>
  <c r="AK10" i="8"/>
  <c r="AO10" i="8" s="1"/>
  <c r="AF10" i="8"/>
  <c r="AE10" i="8"/>
  <c r="AC10" i="8"/>
  <c r="Y10" i="8"/>
  <c r="X10" i="8"/>
  <c r="Q10" i="8"/>
  <c r="P10" i="8"/>
  <c r="AT9" i="8"/>
  <c r="AR9" i="8"/>
  <c r="AP9" i="8"/>
  <c r="AO9" i="8"/>
  <c r="AL9" i="8"/>
  <c r="AJ9" i="8"/>
  <c r="AH9" i="8"/>
  <c r="AG9" i="8"/>
  <c r="AD9" i="8"/>
  <c r="AB9" i="8"/>
  <c r="Z9" i="8"/>
  <c r="W9" i="8"/>
  <c r="V9" i="8"/>
  <c r="U9" i="8"/>
  <c r="T9" i="8"/>
  <c r="S9" i="8"/>
  <c r="R9" i="8"/>
  <c r="X9" i="8" s="1"/>
  <c r="O9" i="8"/>
  <c r="N9" i="8"/>
  <c r="M9" i="8"/>
  <c r="L9" i="8"/>
  <c r="K9" i="8"/>
  <c r="Q9" i="8" s="1"/>
  <c r="J9" i="8"/>
  <c r="AO8" i="8"/>
  <c r="AN8" i="8"/>
  <c r="AG8" i="8"/>
  <c r="AF8" i="8"/>
  <c r="Y8" i="8"/>
  <c r="X8" i="8"/>
  <c r="Q8" i="8"/>
  <c r="P8" i="8"/>
  <c r="AO7" i="8"/>
  <c r="AN7" i="8"/>
  <c r="AG7" i="8"/>
  <c r="AF7" i="8"/>
  <c r="Y7" i="8"/>
  <c r="X7" i="8"/>
  <c r="Q7" i="8"/>
  <c r="P7" i="8"/>
  <c r="AM17" i="1"/>
  <c r="AK17" i="1"/>
  <c r="AO17" i="1" s="1"/>
  <c r="W16" i="1"/>
  <c r="U16" i="1"/>
  <c r="M16" i="1"/>
  <c r="K16" i="1"/>
  <c r="AN11" i="1"/>
  <c r="AO11" i="1"/>
  <c r="AG11" i="1"/>
  <c r="AF11" i="1"/>
  <c r="Y11" i="1"/>
  <c r="X11" i="1"/>
  <c r="Q11" i="1"/>
  <c r="P11" i="1"/>
  <c r="AL24" i="1"/>
  <c r="AJ24" i="1"/>
  <c r="AH24" i="1"/>
  <c r="AD24" i="1"/>
  <c r="AB24" i="1"/>
  <c r="Z24" i="1"/>
  <c r="W24" i="1"/>
  <c r="V24" i="1"/>
  <c r="U24" i="1"/>
  <c r="T24" i="1"/>
  <c r="S24" i="1"/>
  <c r="R24" i="1"/>
  <c r="O24" i="1"/>
  <c r="N24" i="1"/>
  <c r="M24" i="1"/>
  <c r="L24" i="1"/>
  <c r="K24" i="1"/>
  <c r="J24" i="1"/>
  <c r="AO21" i="1"/>
  <c r="AL21" i="1"/>
  <c r="AJ21" i="1"/>
  <c r="AH21" i="1"/>
  <c r="AN21" i="1" s="1"/>
  <c r="AD21" i="1"/>
  <c r="AB21" i="1"/>
  <c r="Z21" i="1"/>
  <c r="W21" i="1"/>
  <c r="V21" i="1"/>
  <c r="U21" i="1"/>
  <c r="T21" i="1"/>
  <c r="S21" i="1"/>
  <c r="R21" i="1"/>
  <c r="O21" i="1"/>
  <c r="N21" i="1"/>
  <c r="M21" i="1"/>
  <c r="L21" i="1"/>
  <c r="K21" i="1"/>
  <c r="J21" i="1"/>
  <c r="AT16" i="1"/>
  <c r="AR16" i="1"/>
  <c r="AP16" i="1"/>
  <c r="AN17" i="1"/>
  <c r="Y17" i="1"/>
  <c r="X17" i="1"/>
  <c r="AT13" i="1"/>
  <c r="AR13" i="1"/>
  <c r="AP13" i="1"/>
  <c r="AO13" i="1"/>
  <c r="AL13" i="1"/>
  <c r="AJ13" i="1"/>
  <c r="AH13" i="1"/>
  <c r="AD13" i="1"/>
  <c r="AB13" i="1"/>
  <c r="Z13" i="1"/>
  <c r="W13" i="1"/>
  <c r="V13" i="1"/>
  <c r="U13" i="1"/>
  <c r="T13" i="1"/>
  <c r="S13" i="1"/>
  <c r="R13" i="1"/>
  <c r="O13" i="1"/>
  <c r="N13" i="1"/>
  <c r="AT12" i="1"/>
  <c r="AR12" i="1"/>
  <c r="AP12" i="1"/>
  <c r="AH10" i="1"/>
  <c r="AD10" i="1"/>
  <c r="Z10" i="1"/>
  <c r="W10" i="1"/>
  <c r="V10" i="1"/>
  <c r="U10" i="1"/>
  <c r="T10" i="1"/>
  <c r="X10" i="1" s="1"/>
  <c r="AL9" i="1"/>
  <c r="AJ9" i="1"/>
  <c r="AH9" i="1"/>
  <c r="AD9" i="1"/>
  <c r="AB9" i="1"/>
  <c r="Z9" i="1"/>
  <c r="W9" i="1"/>
  <c r="V9" i="1"/>
  <c r="U9" i="1"/>
  <c r="T9" i="1"/>
  <c r="S9" i="1"/>
  <c r="R9" i="1"/>
  <c r="N9" i="1"/>
  <c r="P9" i="1" s="1"/>
  <c r="AL8" i="1"/>
  <c r="AJ8" i="1"/>
  <c r="AH8" i="1"/>
  <c r="AD8" i="1"/>
  <c r="AB8" i="1"/>
  <c r="Z8" i="1"/>
  <c r="X8" i="1"/>
  <c r="S16" i="1"/>
  <c r="O16" i="1"/>
  <c r="AL16" i="1"/>
  <c r="AJ16" i="1"/>
  <c r="AH16" i="1"/>
  <c r="AD16" i="1"/>
  <c r="AB16" i="1"/>
  <c r="Z16" i="1"/>
  <c r="V16" i="1"/>
  <c r="T16" i="1"/>
  <c r="R16" i="1"/>
  <c r="N16" i="1"/>
  <c r="L16" i="1"/>
  <c r="J16" i="1"/>
  <c r="AN13" i="1" l="1"/>
  <c r="Y21" i="1"/>
  <c r="AX15" i="8"/>
  <c r="Q16" i="8"/>
  <c r="AZ16" i="8" s="1"/>
  <c r="X21" i="1"/>
  <c r="Q14" i="8"/>
  <c r="P16" i="8"/>
  <c r="AV11" i="8"/>
  <c r="AV12" i="8"/>
  <c r="AV13" i="8"/>
  <c r="AZ11" i="8"/>
  <c r="AZ12" i="8"/>
  <c r="BA13" i="8"/>
  <c r="Y9" i="8"/>
  <c r="AG10" i="8"/>
  <c r="BA10" i="8" s="1"/>
  <c r="AZ14" i="8"/>
  <c r="P9" i="8"/>
  <c r="AY9" i="8" s="1"/>
  <c r="AF9" i="8"/>
  <c r="AN9" i="8"/>
  <c r="P14" i="8"/>
  <c r="AX14" i="8" s="1"/>
  <c r="AN14" i="8"/>
  <c r="AF15" i="8"/>
  <c r="AN15" i="8"/>
  <c r="BA15" i="8" s="1"/>
  <c r="Y16" i="8"/>
  <c r="AX13" i="8"/>
  <c r="AY7" i="8"/>
  <c r="AY8" i="8"/>
  <c r="AZ7" i="8"/>
  <c r="AZ8" i="8"/>
  <c r="BA7" i="8"/>
  <c r="BA8" i="8"/>
  <c r="AY10" i="8"/>
  <c r="AX10" i="8"/>
  <c r="AV16" i="8"/>
  <c r="AW9" i="8"/>
  <c r="AY16" i="8"/>
  <c r="AX16" i="8"/>
  <c r="AW16" i="8"/>
  <c r="BB16" i="8" s="1"/>
  <c r="BD16" i="8" s="1"/>
  <c r="AW7" i="8"/>
  <c r="AW8" i="8"/>
  <c r="AX11" i="8"/>
  <c r="AX12" i="8"/>
  <c r="AY13" i="8"/>
  <c r="AV7" i="8"/>
  <c r="AV8" i="8"/>
  <c r="AV10" i="8"/>
  <c r="AW11" i="8"/>
  <c r="BA11" i="8"/>
  <c r="AW12" i="8"/>
  <c r="BA12" i="8"/>
  <c r="Y14" i="8"/>
  <c r="AW14" i="8" s="1"/>
  <c r="AX7" i="8"/>
  <c r="AX8" i="8"/>
  <c r="AY11" i="8"/>
  <c r="AY12" i="8"/>
  <c r="AZ13" i="8"/>
  <c r="AW15" i="8"/>
  <c r="AW13" i="8"/>
  <c r="BB13" i="8" s="1"/>
  <c r="X14" i="8"/>
  <c r="P14" i="1"/>
  <c r="Q14" i="1"/>
  <c r="X14" i="1"/>
  <c r="Y14" i="1"/>
  <c r="AF14" i="1"/>
  <c r="AG14" i="1"/>
  <c r="AN14" i="1"/>
  <c r="X20" i="1"/>
  <c r="AF20" i="1"/>
  <c r="AX14" i="1" l="1"/>
  <c r="BA16" i="8"/>
  <c r="BA9" i="8"/>
  <c r="BB12" i="8"/>
  <c r="BB11" i="8"/>
  <c r="BD11" i="8" s="1"/>
  <c r="AZ10" i="8"/>
  <c r="AV15" i="8"/>
  <c r="BB15" i="8" s="1"/>
  <c r="BB8" i="8"/>
  <c r="AW10" i="8"/>
  <c r="BB10" i="8" s="1"/>
  <c r="AX9" i="8"/>
  <c r="AV9" i="8"/>
  <c r="AV14" i="8"/>
  <c r="BB14" i="8" s="1"/>
  <c r="BD14" i="8" s="1"/>
  <c r="AZ9" i="8"/>
  <c r="BB7" i="8"/>
  <c r="BD7" i="8"/>
  <c r="BB9" i="8"/>
  <c r="AW11" i="1"/>
  <c r="AV11" i="1"/>
  <c r="AV14" i="1"/>
  <c r="BB18" i="1"/>
  <c r="AW14" i="1"/>
  <c r="AZ11"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B11" i="1" l="1"/>
  <c r="BB14" i="1"/>
  <c r="K19" i="7"/>
  <c r="S19" i="7"/>
  <c r="T19" i="7"/>
  <c r="AU19" i="7" s="1"/>
  <c r="BD9" i="8"/>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X23" i="1"/>
  <c r="AY21" i="1"/>
  <c r="AZ21" i="1"/>
  <c r="BA21" i="1"/>
  <c r="AG21" i="1"/>
  <c r="AF21" i="1"/>
  <c r="Q21" i="1"/>
  <c r="P21" i="1"/>
  <c r="AV21" i="1" l="1"/>
  <c r="AW21" i="1"/>
  <c r="AX21" i="1"/>
  <c r="BB21" i="1" l="1"/>
  <c r="BD21" i="1" s="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AZ7" i="1" l="1"/>
  <c r="BB7" i="1"/>
  <c r="AY7" i="1"/>
  <c r="BA7" i="1"/>
  <c r="AX7" i="1"/>
  <c r="AN9" i="1" l="1"/>
  <c r="AO9" i="1"/>
  <c r="AN10" i="1"/>
  <c r="AG9" i="1"/>
  <c r="AG10" i="1"/>
  <c r="AF9" i="1"/>
  <c r="AF10" i="1"/>
  <c r="Y9" i="1"/>
  <c r="Y10" i="1"/>
  <c r="X9" i="1"/>
  <c r="AN8" i="1" l="1"/>
  <c r="AF8" i="1"/>
  <c r="Q9" i="1"/>
  <c r="AO8" i="1"/>
  <c r="AG8" i="1"/>
  <c r="Y8" i="1"/>
  <c r="P8" i="1"/>
  <c r="Q8" i="1"/>
  <c r="AX8" i="1" l="1"/>
  <c r="AW8" i="1"/>
  <c r="AV8" i="1"/>
  <c r="AX9" i="1"/>
  <c r="AY8" i="1"/>
  <c r="P10" i="1"/>
  <c r="Q10" i="1"/>
  <c r="P12" i="1"/>
  <c r="Q12" i="1"/>
  <c r="P13" i="1"/>
  <c r="Q13" i="1"/>
  <c r="P15" i="1"/>
  <c r="Q15" i="1"/>
  <c r="P16" i="1"/>
  <c r="Q16" i="1"/>
  <c r="P17" i="1"/>
  <c r="Q17" i="1"/>
  <c r="P19" i="1"/>
  <c r="Q19" i="1"/>
  <c r="P20" i="1"/>
  <c r="Q20" i="1"/>
  <c r="P23" i="1"/>
  <c r="Q23" i="1"/>
  <c r="X12" i="1"/>
  <c r="Y12" i="1"/>
  <c r="X13" i="1"/>
  <c r="Y13" i="1"/>
  <c r="X15" i="1"/>
  <c r="Y15" i="1"/>
  <c r="X16" i="1"/>
  <c r="Y16" i="1"/>
  <c r="X19" i="1"/>
  <c r="Y19" i="1"/>
  <c r="Y20" i="1"/>
  <c r="Y23" i="1"/>
  <c r="AF12" i="1"/>
  <c r="AG12" i="1"/>
  <c r="AF13" i="1"/>
  <c r="AG13" i="1"/>
  <c r="AF15" i="1"/>
  <c r="AG15" i="1"/>
  <c r="AF16" i="1"/>
  <c r="AG16" i="1"/>
  <c r="AF17" i="1"/>
  <c r="AG17" i="1"/>
  <c r="AF19" i="1"/>
  <c r="AG19" i="1"/>
  <c r="AG20" i="1"/>
  <c r="AG23" i="1"/>
  <c r="AG24" i="1"/>
  <c r="AN12" i="1"/>
  <c r="AO12" i="1"/>
  <c r="AN15" i="1"/>
  <c r="AO15" i="1"/>
  <c r="AN16" i="1"/>
  <c r="AO16" i="1"/>
  <c r="AN19" i="1"/>
  <c r="AN20" i="1"/>
  <c r="AO20" i="1"/>
  <c r="AO23" i="1"/>
  <c r="AO24" i="1"/>
  <c r="AW20" i="1" l="1"/>
  <c r="AW23" i="1"/>
  <c r="AX20" i="1"/>
  <c r="AY15" i="1"/>
  <c r="AV16" i="1"/>
  <c r="AX12" i="1"/>
  <c r="AV20" i="1"/>
  <c r="AY19" i="1"/>
  <c r="AW19" i="1"/>
  <c r="AV19" i="1"/>
  <c r="AX16" i="1"/>
  <c r="AW16" i="1"/>
  <c r="BB16" i="1" s="1"/>
  <c r="BD16" i="1" s="1"/>
  <c r="AX10" i="1"/>
  <c r="AW10" i="1"/>
  <c r="AX11" i="1"/>
  <c r="AX23" i="1"/>
  <c r="AX19" i="1"/>
  <c r="AX17" i="1"/>
  <c r="AX15" i="1"/>
  <c r="AX13" i="1"/>
  <c r="AV17" i="1"/>
  <c r="AN23" i="1"/>
  <c r="Y24" i="1"/>
  <c r="AN24" i="1"/>
  <c r="X24" i="1"/>
  <c r="AV12" i="1"/>
  <c r="AW12" i="1"/>
  <c r="AY12" i="1"/>
  <c r="AZ12" i="1"/>
  <c r="BA12" i="1"/>
  <c r="AV13" i="1"/>
  <c r="AW13" i="1"/>
  <c r="AY13" i="1"/>
  <c r="AZ13" i="1"/>
  <c r="BA13" i="1"/>
  <c r="AY14" i="1"/>
  <c r="AZ14" i="1"/>
  <c r="BA14" i="1"/>
  <c r="AV15" i="1"/>
  <c r="AW15" i="1"/>
  <c r="AZ15" i="1"/>
  <c r="BA15" i="1"/>
  <c r="AY16" i="1"/>
  <c r="AZ16" i="1"/>
  <c r="BA16" i="1"/>
  <c r="AW17" i="1"/>
  <c r="BB17" i="1" s="1"/>
  <c r="AY17" i="1"/>
  <c r="AZ17" i="1"/>
  <c r="BA17" i="1"/>
  <c r="AY18" i="1"/>
  <c r="AZ18" i="1"/>
  <c r="AZ19" i="1"/>
  <c r="BA19" i="1"/>
  <c r="AY20" i="1"/>
  <c r="AZ20" i="1"/>
  <c r="BA20" i="1"/>
  <c r="BB19" i="1" l="1"/>
  <c r="BB15" i="1"/>
  <c r="BB20" i="1"/>
  <c r="BB13" i="1"/>
  <c r="BB12" i="1"/>
  <c r="P24" i="1"/>
  <c r="AF24" i="1"/>
  <c r="Q24" i="1"/>
  <c r="AW24" i="1" s="1"/>
  <c r="AF23" i="1"/>
  <c r="AV23" i="1" s="1"/>
  <c r="BB23" i="1" l="1"/>
  <c r="BD23" i="1" s="1"/>
  <c r="BA23" i="1"/>
  <c r="AX24" i="1"/>
  <c r="BA24" i="1"/>
  <c r="AV24" i="1"/>
  <c r="BB24" i="1" s="1"/>
  <c r="BD24" i="1" s="1"/>
  <c r="AZ24" i="1"/>
  <c r="AY24" i="1"/>
  <c r="AZ8" i="1"/>
  <c r="AV9" i="1"/>
  <c r="AY10" i="1"/>
  <c r="AY11" i="1"/>
  <c r="BA9" i="1"/>
  <c r="AV10" i="1"/>
  <c r="BB10" i="1" s="1"/>
  <c r="AW9" i="1"/>
  <c r="BB9" i="1" s="1"/>
  <c r="BB8" i="1"/>
  <c r="AZ10" i="1"/>
  <c r="AZ9" i="1"/>
  <c r="AY9" i="1"/>
  <c r="BA10" i="1"/>
  <c r="BA8" i="1"/>
  <c r="BA11" i="1" l="1"/>
  <c r="BD7" i="1"/>
</calcChain>
</file>

<file path=xl/sharedStrings.xml><?xml version="1.0" encoding="utf-8"?>
<sst xmlns="http://schemas.openxmlformats.org/spreadsheetml/2006/main" count="960" uniqueCount="305">
  <si>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</si>
  <si>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</si>
  <si>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</si>
  <si>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</si>
  <si>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</si>
  <si>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</si>
  <si>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</si>
  <si>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</si>
  <si>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</si>
  <si>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</si>
  <si>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</si>
  <si>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</si>
  <si>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</si>
  <si>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</si>
  <si>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</si>
  <si>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</si>
  <si>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</si>
  <si>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</si>
  <si>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</si>
  <si>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</si>
  <si>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</si>
  <si>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</si>
  <si>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</si>
  <si>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</si>
  <si>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</si>
  <si>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</si>
  <si>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</si>
  <si>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</si>
  <si>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</si>
  <si>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</si>
  <si>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</si>
  <si>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</si>
  <si>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</si>
  <si>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</si>
  <si>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</si>
  <si>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</si>
  <si>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</si>
  <si>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</si>
  <si>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</si>
  <si>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</si>
  <si>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</si>
  <si>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</si>
  <si>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</si>
  <si>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</si>
  <si>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</si>
  <si>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</si>
  <si>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</si>
  <si>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</si>
  <si>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</si>
  <si>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</si>
  <si>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</si>
  <si>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</si>
  <si>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</si>
  <si>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</si>
  <si>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</si>
  <si>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</si>
  <si>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</si>
  <si>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</si>
  <si>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</si>
  <si>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</si>
  <si>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</si>
  <si>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</si>
  <si>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</si>
  <si>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</si>
  <si>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</si>
  <si>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</si>
  <si>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</si>
  <si>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</si>
  <si>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</si>
  <si>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</si>
  <si>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</si>
  <si>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</si>
  <si>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</si>
  <si>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</si>
  <si>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</si>
  <si>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</si>
  <si>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</si>
  <si>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</si>
  <si>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</si>
  <si>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</si>
  <si>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</si>
  <si>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</si>
  <si>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</si>
  <si>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</si>
  <si>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</si>
  <si>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</si>
  <si>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</si>
  <si>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</si>
  <si>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</si>
  <si>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</si>
  <si>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</si>
  <si>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</si>
  <si>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</si>
  <si>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</si>
  <si>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</si>
  <si>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</si>
  <si>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</si>
  <si>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</si>
  <si>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</si>
  <si>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</si>
  <si>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</si>
  <si>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</si>
  <si>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</si>
  <si>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</si>
  <si>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</si>
  <si>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</si>
  <si>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</si>
  <si>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</si>
  <si>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</si>
  <si>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</si>
  <si>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</si>
  <si>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</si>
  <si>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</si>
  <si>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</si>
  <si>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</si>
  <si>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</si>
  <si>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</si>
  <si>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</si>
  <si>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</si>
  <si>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</si>
  <si>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</si>
  <si>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</si>
  <si>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</si>
  <si>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</si>
  <si>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</si>
  <si>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</si>
  <si>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</si>
  <si>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</si>
  <si>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</si>
  <si>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</si>
  <si>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</si>
  <si>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</si>
  <si>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</si>
  <si>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</si>
  <si>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</si>
  <si>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</si>
  <si>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</si>
  <si>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</si>
  <si>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</si>
  <si>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</si>
  <si>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</si>
  <si>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</si>
  <si>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</si>
  <si>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</si>
  <si>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</si>
  <si>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</si>
  <si>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</si>
  <si>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</si>
  <si>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</si>
  <si>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</si>
  <si>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</si>
  <si>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</si>
  <si>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</si>
  <si>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</si>
  <si>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</si>
  <si>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</si>
  <si>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</si>
  <si>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</si>
  <si>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</si>
  <si>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</si>
  <si>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</si>
  <si>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</si>
  <si>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</si>
  <si>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</si>
  <si>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</si>
  <si>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</si>
  <si>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</si>
  <si>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</si>
  <si>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</si>
  <si>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</si>
  <si>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</si>
  <si>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</si>
  <si>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</si>
  <si>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</si>
  <si>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</si>
  <si>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</si>
  <si>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</si>
  <si>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</si>
  <si>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</si>
  <si>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</si>
  <si>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</si>
  <si>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</si>
  <si>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</si>
  <si>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</si>
  <si>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</si>
  <si>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</si>
  <si>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</si>
  <si>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t>
  </si>
  <si>
    <t>Número de campañas educativas realizadas
Código : CE-IE-019</t>
  </si>
  <si>
    <t>Número de periodistas y/o comunicadores sociales capacitados en gestión de riesgos y cambio climático de los identificados  
Código : CE-IE-020</t>
  </si>
  <si>
    <t>Porcentaje de requerimientos de soluciones informáticas implementadas 
Código : TI-IE-111</t>
  </si>
  <si>
    <t>Número de visores implementados
Código : TI-IE-88</t>
  </si>
  <si>
    <t>Número de cuerpos de agua intervenidos
Código: RR-IE-015</t>
  </si>
  <si>
    <t>Número de obras de mitigación para la reducción del riesgo y adaptación al cambio climático ejecutadas
Código:  RR-IE-046</t>
  </si>
  <si>
    <t>Número de predios adecuados producto del proceso de reasentamiento
Código :RR-IE-013</t>
  </si>
  <si>
    <t>Porcentaje de avance de la implementación de la estrategia de sensibilización del fortalecimiento de capacidades
Código :AC-IG-018</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</si>
  <si>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</si>
  <si>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</si>
  <si>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</si>
  <si>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</si>
  <si>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</si>
  <si>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</si>
  <si>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</si>
  <si>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</si>
  <si>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</si>
  <si>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</si>
  <si>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</si>
  <si>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</si>
  <si>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</si>
  <si>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</si>
  <si>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</si>
  <si>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</si>
  <si>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</si>
  <si>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</si>
  <si>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ayudas Humanitarias entregadas
</t>
    </r>
    <r>
      <rPr>
        <b/>
        <sz val="8"/>
        <color theme="1"/>
        <rFont val="Century Gothic"/>
        <family val="2"/>
      </rPr>
      <t>Código ME-IE-58</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</si>
  <si>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</si>
  <si>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</si>
  <si>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</si>
  <si>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</si>
  <si>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Se realizó  DOS campañas programadas para agosto y octubre. La primera sobre la Segunda Temporada de Lluvias que comenzó a mediados de septiembre. Además se dio inicio a la campaña sobre el Simulacro Distrital de Autoprotección de este año.</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</si>
  <si>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</si>
  <si>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</si>
  <si>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t>
  </si>
  <si>
    <t>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</si>
  <si>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A la fecha  corte 30 de Septiembre, se  ha realizado una (1) obra  de mitigación para la reducción del riesgo de desastres en el mes de Mayo se tiene progmado construir  2 dos obras en el mes de Diciembre para cumplir con las tres (3) obras programas para esta vigencia.</t>
  </si>
  <si>
    <t xml:space="preserve">Durante el primer semestre han entregado  8657 ayudas humanitarias a familias afectadas en situaciones de emergencia garantizando que estas cuenten con elementos que les permita satisfacer sus necesidades básicas de bienestar.
 A la fecha  con corte 30 de Septiembre, se  ha entregado  10281  yudas humanitarias a familias afectadas en situaciones de emergencia garantizando que estas cuenten con elementos que les permita satisfacer sus necesidades básicas de bienestar.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</si>
  <si>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</si>
  <si>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</si>
  <si>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</si>
  <si>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</si>
  <si>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</si>
  <si>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</si>
  <si>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</si>
  <si>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</si>
  <si>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</si>
  <si>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Objetivo Estratégico  1</t>
  </si>
  <si>
    <t>Objetivo Estratégico  2</t>
  </si>
  <si>
    <t>Objetivo Estratégico  3</t>
  </si>
  <si>
    <t>Objetivo Estratégico  4</t>
  </si>
  <si>
    <t>Objetivo Estratégico  5</t>
  </si>
  <si>
    <t>Objetivo Estratégico  6</t>
  </si>
  <si>
    <t>Objetivo Estratégico  7</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</si>
  <si>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</si>
  <si>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</si>
  <si>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</si>
  <si>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</si>
  <si>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</si>
  <si>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</si>
  <si>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</si>
  <si>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</si>
  <si>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</si>
  <si>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</si>
  <si>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</si>
  <si>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</si>
  <si>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</si>
  <si>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</si>
  <si>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</si>
  <si>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Ejecución Anual</t>
  </si>
  <si>
    <t>% Falta por ejecutar</t>
  </si>
  <si>
    <t xml:space="preserve"> Observaciones</t>
  </si>
  <si>
    <t>Meta Cuatrienal</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</si>
  <si>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</si>
  <si>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Cumplimiento  Acumulado vigencia 2021</t>
  </si>
  <si>
    <t>Meta Vigencia 2021</t>
  </si>
  <si>
    <t>Año</t>
  </si>
  <si>
    <r>
      <rPr>
        <sz val="8"/>
        <color rgb="FFFF0000"/>
        <rFont val="Arial"/>
        <family val="2"/>
      </rPr>
      <t>2.4</t>
    </r>
    <r>
      <rPr>
        <sz val="8"/>
        <color theme="1"/>
        <rFont val="Arial"/>
        <family val="2"/>
      </rPr>
      <t xml:space="preserve"> Realizar  campañas educativas en las localidades priorizadas de Bogotá, D. C. sobre la gestión del riesgo y cambio climático. </t>
    </r>
  </si>
  <si>
    <t>Meta Cuatrienal Porcentual</t>
  </si>
  <si>
    <t>Meta</t>
  </si>
  <si>
    <t>|</t>
  </si>
  <si>
    <t>Total</t>
  </si>
  <si>
    <r>
      <rPr>
        <b/>
        <sz val="8"/>
        <color rgb="FFFF0000"/>
        <rFont val="Arial"/>
        <family val="2"/>
      </rPr>
      <t xml:space="preserve">4.3 </t>
    </r>
    <r>
      <rPr>
        <b/>
        <sz val="8"/>
        <color theme="1"/>
        <rFont val="Arial"/>
        <family val="2"/>
      </rPr>
      <t>Adecuar (600) predios resultado del proceso de reasentamiento de familias en alto riesgo no mitigable.</t>
    </r>
  </si>
  <si>
    <r>
      <rPr>
        <b/>
        <sz val="8"/>
        <color rgb="FFFF0000"/>
        <rFont val="Arial"/>
        <family val="2"/>
      </rPr>
      <t>5.2</t>
    </r>
    <r>
      <rPr>
        <sz val="8"/>
        <rFont val="Arial"/>
        <family val="2"/>
      </rPr>
      <t xml:space="preserve"> A5.2 Implementar el  100% del plan de acción de las actividades de aglomeraciones de público, parques de diversiones, atracciones, dispositivos de entretenimiento y sistemas de transporte vertical.</t>
    </r>
  </si>
  <si>
    <t>Tendencia Creciente</t>
  </si>
  <si>
    <r>
      <rPr>
        <b/>
        <sz val="8"/>
        <color theme="1"/>
        <rFont val="Arial"/>
        <family val="2"/>
      </rPr>
      <t>6.1</t>
    </r>
    <r>
      <rPr>
        <sz val="8"/>
        <color theme="1"/>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</si>
  <si>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t xml:space="preserve">6. Implementar la estrategia del servicio a la ciudadanía y a los grupos de interés del IDIGER, </t>
  </si>
  <si>
    <r>
      <rPr>
        <sz val="8"/>
        <color rgb="FFFF0000"/>
        <rFont val="Arial"/>
        <family val="2"/>
      </rPr>
      <t>2.5</t>
    </r>
    <r>
      <rPr>
        <sz val="8"/>
        <color theme="1"/>
        <rFont val="Arial"/>
        <family val="2"/>
      </rPr>
      <t xml:space="preserve"> Realizar una capacitación anual para comunicadores sociales y periodistas en Gestión de Riesgos y Cambio Climático</t>
    </r>
  </si>
  <si>
    <r>
      <t>4.2</t>
    </r>
    <r>
      <rPr>
        <b/>
        <sz val="8"/>
        <color theme="1"/>
        <rFont val="Arial"/>
        <family val="2"/>
      </rPr>
      <t>Construir nueve (9) obras de mitigación para la reducción del riesgo de desastres</t>
    </r>
  </si>
  <si>
    <t>Grado Cumplimiento Metas Estratégicas</t>
  </si>
  <si>
    <t xml:space="preserve">Programaciónm 2020 </t>
  </si>
  <si>
    <t>Programación 2022</t>
  </si>
  <si>
    <t>Programación 2023</t>
  </si>
  <si>
    <t>Programación 2024</t>
  </si>
  <si>
    <t>Programado</t>
  </si>
  <si>
    <t>Ejecutado</t>
  </si>
  <si>
    <t>Ejecutado Acumulado corte 30/09/2021</t>
  </si>
  <si>
    <t>200 (100%)</t>
  </si>
  <si>
    <t>731 (100 %)</t>
  </si>
  <si>
    <t>658 (89 %)</t>
  </si>
  <si>
    <t>200 (100%</t>
  </si>
  <si>
    <t xml:space="preserve">1  (100%) </t>
  </si>
  <si>
    <t>0  (100%)</t>
  </si>
  <si>
    <t>3 (100%)</t>
  </si>
  <si>
    <t>1 (33%)</t>
  </si>
  <si>
    <t>2 ( 100%)</t>
  </si>
  <si>
    <t>1 (100%)</t>
  </si>
  <si>
    <t>145  (100%)</t>
  </si>
  <si>
    <t>200 (0%)</t>
  </si>
  <si>
    <t xml:space="preserve">127 (100%) </t>
  </si>
  <si>
    <t>127 (100%)</t>
  </si>
  <si>
    <r>
      <rPr>
        <b/>
        <sz val="8"/>
        <color rgb="FFFF0000"/>
        <rFont val="Arial"/>
        <family val="2"/>
      </rPr>
      <t>5.2</t>
    </r>
    <r>
      <rPr>
        <sz val="8"/>
        <color rgb="FFFF0000"/>
        <rFont val="Arial"/>
        <family val="2"/>
      </rPr>
      <t xml:space="preserve"> </t>
    </r>
    <r>
      <rPr>
        <sz val="8"/>
        <rFont val="Arial"/>
        <family val="2"/>
      </rPr>
      <t>Implementar el  100% del plan de acción de las actividades de aglomeraciones de público, parques de diversiones, atracciones, dispositivos de entretenimiento y sistemas de transporte vertical.</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</si>
  <si>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</si>
  <si>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t>METAS CON MENOR EJECUCION</t>
  </si>
  <si>
    <r>
      <rPr>
        <b/>
        <sz val="12"/>
        <color rgb="FFFF0000"/>
        <rFont val="Century Gothic"/>
        <family val="2"/>
      </rPr>
      <t xml:space="preserve">Meta 2.1  </t>
    </r>
    <r>
      <rPr>
        <sz val="12"/>
        <color theme="1"/>
        <rFont val="Century Gothic"/>
        <family val="2"/>
      </rPr>
      <t xml:space="preserve">A la fecha se tiene un porcentaje acumulado del 15 % de los productos asociados al estado del tiempo.
</t>
    </r>
    <r>
      <rPr>
        <b/>
        <sz val="12"/>
        <color rgb="FFFF0000"/>
        <rFont val="Century Gothic"/>
        <family val="2"/>
      </rPr>
      <t xml:space="preserve">Meta 4.2 </t>
    </r>
    <r>
      <rPr>
        <sz val="12"/>
        <color theme="1"/>
        <rFont val="Century Gothic"/>
        <family val="2"/>
      </rPr>
      <t xml:space="preserve">A la fecha se tiene un porcentaje acumulado del 33% , resultado de la construcción de una (1) obra de mitigación
para la reducción del riesgo, a la fecha se han adjudicado 2 obras y la entrega de las mismas será en 2.022.
</t>
    </r>
    <r>
      <rPr>
        <b/>
        <sz val="12"/>
        <color rgb="FFFF0000"/>
        <rFont val="Century Gothic"/>
        <family val="2"/>
      </rPr>
      <t>Meta 4.3</t>
    </r>
    <r>
      <rPr>
        <sz val="12"/>
        <color theme="1"/>
        <rFont val="Century Gothic"/>
        <family val="2"/>
      </rPr>
      <t xml:space="preserve"> A la fecha no se han adecuado los 200 predios programados para la vigencia 2021.
</t>
    </r>
    <r>
      <rPr>
        <b/>
        <sz val="12"/>
        <color rgb="FFFF0000"/>
        <rFont val="Century Gothic"/>
        <family val="2"/>
      </rPr>
      <t xml:space="preserve">Meta 5.2. </t>
    </r>
    <r>
      <rPr>
        <sz val="12"/>
        <color theme="1"/>
        <rFont val="Century Gothic"/>
        <family val="2"/>
      </rPr>
      <t>A la fecha se tiene un porcentaje acumulado del 47% de avance fortalecimiento de las capacidades.</t>
    </r>
  </si>
  <si>
    <t xml:space="preserve">METAS CON AVANCE ADECUADO
</t>
  </si>
  <si>
    <t>• Se han coordinado 131 acciones acciones necesarias para la articulación y dinamización del Sistema Distrital de Gestión de Riesgos y Cambio Climático
• Se han actualizado realizado 85 actividades relacionadas con el avance en la actualización de los ítem que componen la propuesta técnica y jurídica de ajuste de la Resolución 227 de 2006.
• Se ha avanzado en un 98% en el avance de construcción de componentes por fenómenos amenazantes que hacen parte del documento.
• Se capacitaron a 12 periodistas donde se les informó sobre la Segunda Temporada de Lluvias que se presenta en la capital cada año, informándolos así en gestión de riesgos. Se adjunta como evidencia el listado de asistencia la charla.
• Se ha avanzado en 76% en la implementación de los visores de información geográficos sobre la gestión del riesgo
*Se ha entregado 10281 ayudas humanitarias a familias afectadas en situaciones de emergencia garantizando que estas uenten con elementos que les permita  satisfacer sus necesidades básicas de bienestar.
• Se ha avanzado en un 75% de cumplimiento acciones implementadas del MIPG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</si>
</sst>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59"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sz val="8"/>
      <name val="Calibri Light"/>
      <family val="2"/>
      <scheme val="major"/>
    </font>
    <font>
      <sz val="6"/>
      <name val="Century Gothic"/>
      <family val="2"/>
    </font>
    <font>
      <sz val="8"/>
      <name val="Calibri"/>
      <family val="2"/>
      <scheme val="minor"/>
    </font>
    <font>
      <b/>
      <sz val="8"/>
      <color rgb="FFFF0000"/>
      <name val="Arial"/>
      <family val="2"/>
    </font>
    <font>
      <b/>
      <sz val="11"/>
      <color theme="1"/>
      <name val="Calibri"/>
      <family val="2"/>
      <scheme val="minor"/>
    </font>
    <font>
      <sz val="12"/>
      <name val="Century Gothic"/>
      <family val="2"/>
    </font>
    <font>
      <sz val="14"/>
      <name val="Century Gothic"/>
      <family val="2"/>
    </font>
    <font>
      <sz val="16"/>
      <name val="Century Gothic"/>
      <family val="2"/>
    </font>
    <font>
      <b/>
      <sz val="8"/>
      <color theme="1"/>
      <name val="Arial"/>
      <family val="2"/>
    </font>
    <font>
      <b/>
      <sz val="12"/>
      <color theme="1"/>
      <name val="Arial"/>
      <family val="2"/>
    </font>
    <font>
      <sz val="9"/>
      <color rgb="FF000000"/>
      <name val="Calibri Light"/>
      <family val="2"/>
    </font>
    <font>
      <sz val="12"/>
      <color theme="1"/>
      <name val="Century Gothic"/>
      <family val="2"/>
    </font>
    <font>
      <b/>
      <sz val="12"/>
      <color rgb="FFFF0000"/>
      <name val="Century Gothic"/>
      <family val="2"/>
    </font>
  </fonts>
  <fills count="3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0"/>
        <bgColor rgb="FFD6DCE4"/>
      </patternFill>
    </fill>
    <fill>
      <patternFill patternType="solid">
        <fgColor theme="0"/>
        <bgColor indexed="58"/>
      </patternFill>
    </fill>
    <fill>
      <patternFill patternType="solid">
        <fgColor rgb="FFDDD9C4"/>
        <bgColor rgb="FF000000"/>
      </patternFill>
    </fill>
    <fill>
      <patternFill patternType="solid">
        <fgColor rgb="FF70AD47"/>
        <bgColor indexed="64"/>
      </patternFill>
    </fill>
  </fills>
  <borders count="70">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8" tint="0.39994506668294322"/>
      </left>
      <right style="thin">
        <color theme="8" tint="0.39994506668294322"/>
      </right>
      <top/>
      <bottom style="thin">
        <color theme="8" tint="0.399945066682943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576">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1" fillId="13" borderId="24" xfId="0" applyFont="1" applyFill="1" applyBorder="1" applyAlignment="1" applyProtection="1">
      <alignment vertical="center" wrapText="1"/>
      <protection locked="0"/>
    </xf>
    <xf numFmtId="9" fontId="29" fillId="13" borderId="7" xfId="2" applyFont="1" applyFill="1" applyBorder="1" applyAlignment="1">
      <alignment horizontal="center" vertical="center" wrapText="1"/>
    </xf>
    <xf numFmtId="0" fontId="31" fillId="15" borderId="10" xfId="0" applyFont="1" applyFill="1" applyBorder="1" applyAlignment="1" applyProtection="1">
      <alignment horizontal="center" vertical="center" wrapText="1"/>
      <protection locked="0"/>
    </xf>
    <xf numFmtId="0" fontId="31" fillId="15" borderId="7" xfId="0" applyFont="1" applyFill="1" applyBorder="1" applyAlignment="1" applyProtection="1">
      <alignment horizontal="justify" vertical="center" wrapText="1"/>
      <protection locked="0"/>
    </xf>
    <xf numFmtId="9" fontId="29" fillId="15" borderId="7" xfId="2" applyFont="1" applyFill="1" applyBorder="1" applyAlignment="1">
      <alignment horizontal="center" vertical="center" wrapText="1"/>
    </xf>
    <xf numFmtId="0" fontId="29" fillId="15" borderId="7" xfId="0" applyFont="1" applyFill="1" applyBorder="1" applyAlignment="1">
      <alignment horizontal="center" vertical="center" wrapText="1"/>
    </xf>
    <xf numFmtId="0" fontId="31" fillId="16" borderId="11"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justify" vertical="center" wrapText="1"/>
      <protection locked="0"/>
    </xf>
    <xf numFmtId="9" fontId="29" fillId="16" borderId="12" xfId="2" applyFont="1" applyFill="1" applyBorder="1" applyAlignment="1">
      <alignment horizontal="center" vertical="center" wrapText="1"/>
    </xf>
    <xf numFmtId="0" fontId="29" fillId="16" borderId="12" xfId="0" applyFont="1" applyFill="1" applyBorder="1" applyAlignment="1">
      <alignment horizontal="center" vertical="center" wrapText="1"/>
    </xf>
    <xf numFmtId="9" fontId="31" fillId="13" borderId="24" xfId="2" applyFont="1" applyFill="1" applyBorder="1" applyAlignment="1" applyProtection="1">
      <alignment horizontal="center" vertical="center" wrapText="1"/>
      <protection locked="0"/>
    </xf>
    <xf numFmtId="0" fontId="31" fillId="13" borderId="24" xfId="0" applyFont="1" applyFill="1" applyBorder="1" applyAlignment="1" applyProtection="1">
      <alignment horizontal="center" vertical="center" wrapText="1"/>
      <protection locked="0"/>
    </xf>
    <xf numFmtId="0" fontId="31" fillId="13" borderId="22" xfId="0" applyFont="1" applyFill="1" applyBorder="1" applyAlignment="1" applyProtection="1">
      <alignment horizontal="center" vertical="center" wrapText="1"/>
      <protection locked="0"/>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10" fontId="31" fillId="15" borderId="34" xfId="0" applyNumberFormat="1" applyFont="1" applyFill="1" applyBorder="1" applyAlignment="1" applyProtection="1">
      <alignment horizontal="center" vertical="center" wrapText="1"/>
      <protection locked="0"/>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2" borderId="7" xfId="0" applyNumberFormat="1" applyFont="1" applyFill="1" applyBorder="1"/>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8" borderId="7" xfId="2" applyNumberFormat="1" applyFont="1" applyFill="1" applyBorder="1" applyAlignment="1" applyProtection="1">
      <alignment horizontal="center" vertical="center" wrapText="1"/>
      <protection locked="0"/>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2" fontId="29" fillId="12" borderId="7" xfId="0" applyNumberFormat="1" applyFont="1" applyFill="1" applyBorder="1" applyAlignment="1">
      <alignment horizontal="center" vertical="center"/>
    </xf>
    <xf numFmtId="2" fontId="29" fillId="13" borderId="7" xfId="0" applyNumberFormat="1" applyFont="1" applyFill="1" applyBorder="1" applyAlignment="1">
      <alignment horizontal="center" vertical="center"/>
    </xf>
    <xf numFmtId="2" fontId="29" fillId="15" borderId="7" xfId="0" applyNumberFormat="1" applyFont="1" applyFill="1" applyBorder="1" applyAlignment="1">
      <alignment horizontal="center" vertical="center"/>
    </xf>
    <xf numFmtId="1" fontId="29" fillId="16" borderId="12" xfId="2" applyNumberFormat="1" applyFont="1" applyFill="1" applyBorder="1" applyAlignment="1">
      <alignment horizontal="center" vertical="center" wrapText="1"/>
    </xf>
    <xf numFmtId="1" fontId="29" fillId="12" borderId="7" xfId="0" applyNumberFormat="1" applyFont="1" applyFill="1" applyBorder="1" applyAlignment="1">
      <alignment horizontal="center" vertical="center"/>
    </xf>
    <xf numFmtId="2" fontId="34" fillId="2" borderId="7" xfId="0" applyNumberFormat="1" applyFont="1" applyFill="1" applyBorder="1"/>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0" borderId="7" xfId="2"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 borderId="12" xfId="2" applyFont="1" applyFill="1" applyBorder="1"/>
    <xf numFmtId="9" fontId="29" fillId="2" borderId="12" xfId="2" applyFont="1" applyFill="1" applyBorder="1" applyAlignment="1">
      <alignment vertical="center"/>
    </xf>
    <xf numFmtId="9" fontId="29" fillId="28" borderId="12" xfId="2" applyFont="1" applyFill="1" applyBorder="1" applyAlignment="1">
      <alignment horizontal="center" vertical="center" wrapText="1"/>
    </xf>
    <xf numFmtId="9" fontId="31" fillId="16" borderId="35" xfId="0" applyNumberFormat="1" applyFont="1" applyFill="1" applyBorder="1" applyAlignment="1" applyProtection="1">
      <alignment horizontal="center" vertical="center" wrapText="1"/>
      <protection locked="0"/>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31" fillId="2" borderId="7" xfId="0" applyFont="1" applyFill="1" applyBorder="1" applyAlignment="1" applyProtection="1">
      <alignment horizontal="justify" vertical="center" wrapText="1"/>
      <protection locked="0"/>
    </xf>
    <xf numFmtId="0" fontId="29" fillId="2" borderId="7" xfId="0" applyFont="1" applyFill="1" applyBorder="1" applyAlignment="1">
      <alignment vertical="center" wrapText="1"/>
    </xf>
    <xf numFmtId="1" fontId="37" fillId="2" borderId="54" xfId="0" applyNumberFormat="1" applyFont="1" applyFill="1" applyBorder="1" applyAlignment="1">
      <alignment horizontal="center" vertical="center" wrapText="1"/>
    </xf>
    <xf numFmtId="1" fontId="4" fillId="29" borderId="54" xfId="0" applyNumberFormat="1" applyFont="1" applyFill="1" applyBorder="1" applyAlignment="1">
      <alignment horizontal="center" vertical="center"/>
    </xf>
    <xf numFmtId="1" fontId="4" fillId="2" borderId="54" xfId="0" applyNumberFormat="1" applyFont="1" applyFill="1" applyBorder="1" applyAlignment="1">
      <alignment horizontal="center" vertical="center" wrapText="1"/>
    </xf>
    <xf numFmtId="9" fontId="34" fillId="2" borderId="7" xfId="2" applyFont="1" applyFill="1" applyBorder="1" applyAlignment="1">
      <alignment horizontal="center" vertical="center" wrapText="1"/>
    </xf>
    <xf numFmtId="2" fontId="29" fillId="2" borderId="7" xfId="0" applyNumberFormat="1" applyFont="1" applyFill="1" applyBorder="1" applyAlignment="1">
      <alignment horizontal="center" vertical="center"/>
    </xf>
    <xf numFmtId="2" fontId="31" fillId="2" borderId="7" xfId="1" applyNumberFormat="1" applyFont="1" applyFill="1" applyBorder="1" applyAlignment="1" applyProtection="1">
      <alignment horizontal="center" vertical="center"/>
    </xf>
    <xf numFmtId="2" fontId="29" fillId="2" borderId="7" xfId="3" applyNumberFormat="1" applyFont="1" applyFill="1" applyBorder="1" applyAlignment="1">
      <alignment horizontal="center" vertical="center" wrapText="1"/>
    </xf>
    <xf numFmtId="0" fontId="28" fillId="2" borderId="7" xfId="3"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30" borderId="7" xfId="3" applyFont="1" applyFill="1" applyBorder="1" applyAlignment="1">
      <alignment horizontal="center" vertical="center" wrapText="1"/>
    </xf>
    <xf numFmtId="2" fontId="31" fillId="2" borderId="7" xfId="2" applyNumberFormat="1" applyFont="1" applyFill="1" applyBorder="1" applyAlignment="1" applyProtection="1">
      <alignment horizontal="center" vertical="center" wrapText="1"/>
      <protection locked="0"/>
    </xf>
    <xf numFmtId="2" fontId="31" fillId="2" borderId="7" xfId="2" applyNumberFormat="1" applyFont="1" applyFill="1" applyBorder="1" applyAlignment="1">
      <alignment horizontal="center" vertical="center" wrapText="1"/>
    </xf>
    <xf numFmtId="9" fontId="31" fillId="2" borderId="7" xfId="2" applyFont="1" applyFill="1" applyBorder="1" applyAlignment="1" applyProtection="1">
      <alignment horizontal="center" vertical="center"/>
    </xf>
    <xf numFmtId="1" fontId="31" fillId="2" borderId="7" xfId="2" applyNumberFormat="1" applyFont="1" applyFill="1" applyBorder="1" applyAlignment="1" applyProtection="1">
      <alignment horizontal="center" vertical="center"/>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9" fontId="29" fillId="9" borderId="7" xfId="2" applyFont="1" applyFill="1" applyBorder="1" applyAlignment="1">
      <alignment horizontal="justify" vertical="center" wrapText="1"/>
    </xf>
    <xf numFmtId="9" fontId="29" fillId="11" borderId="7" xfId="2" applyFont="1" applyFill="1" applyBorder="1" applyAlignment="1">
      <alignment horizontal="justify" vertical="center" wrapText="1"/>
    </xf>
    <xf numFmtId="0" fontId="29" fillId="11" borderId="7" xfId="0" applyFont="1" applyFill="1" applyBorder="1" applyAlignment="1">
      <alignment horizontal="justify" vertical="center" wrapText="1"/>
    </xf>
    <xf numFmtId="9" fontId="29" fillId="8" borderId="7" xfId="2" applyFont="1" applyFill="1" applyBorder="1" applyAlignment="1">
      <alignment horizontal="justify" vertical="center" wrapText="1"/>
    </xf>
    <xf numFmtId="0" fontId="29" fillId="8" borderId="7" xfId="0" applyFont="1" applyFill="1" applyBorder="1" applyAlignment="1">
      <alignment horizontal="justify" vertical="center" wrapText="1"/>
    </xf>
    <xf numFmtId="9" fontId="29" fillId="7" borderId="7" xfId="2"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9" fontId="29" fillId="13" borderId="7" xfId="2" applyFont="1" applyFill="1" applyBorder="1" applyAlignment="1">
      <alignment horizontal="justify" vertical="center" wrapText="1"/>
    </xf>
    <xf numFmtId="0" fontId="31" fillId="15" borderId="10" xfId="0" applyFont="1" applyFill="1" applyBorder="1" applyAlignment="1" applyProtection="1">
      <alignment horizontal="justify" vertical="center" wrapText="1"/>
      <protection locked="0"/>
    </xf>
    <xf numFmtId="9" fontId="29" fillId="15" borderId="7" xfId="2" applyFont="1" applyFill="1" applyBorder="1" applyAlignment="1">
      <alignment horizontal="justify" vertical="center" wrapText="1"/>
    </xf>
    <xf numFmtId="0" fontId="29" fillId="15" borderId="7" xfId="0" applyFont="1" applyFill="1" applyBorder="1" applyAlignment="1">
      <alignment horizontal="justify" vertical="center" wrapText="1"/>
    </xf>
    <xf numFmtId="0" fontId="31" fillId="16" borderId="11" xfId="0" applyFont="1" applyFill="1" applyBorder="1" applyAlignment="1" applyProtection="1">
      <alignment horizontal="justify" vertical="center" wrapText="1"/>
      <protection locked="0"/>
    </xf>
    <xf numFmtId="9" fontId="29" fillId="16" borderId="12" xfId="2" applyFont="1" applyFill="1" applyBorder="1" applyAlignment="1">
      <alignment horizontal="justify" vertical="center" wrapText="1"/>
    </xf>
    <xf numFmtId="0" fontId="29" fillId="16" borderId="12" xfId="0" applyFont="1" applyFill="1" applyBorder="1" applyAlignment="1">
      <alignment horizontal="justify" vertical="center" wrapText="1"/>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32" fillId="13" borderId="6" xfId="0" applyFont="1" applyFill="1" applyBorder="1" applyAlignment="1">
      <alignment horizontal="center" vertical="center" wrapText="1"/>
    </xf>
    <xf numFmtId="0" fontId="46" fillId="2" borderId="59" xfId="4" applyFont="1" applyFill="1" applyBorder="1" applyAlignment="1" applyProtection="1">
      <alignment vertical="center" wrapText="1"/>
      <protection locked="0"/>
    </xf>
    <xf numFmtId="0" fontId="47" fillId="2" borderId="59" xfId="4" applyFont="1" applyFill="1" applyBorder="1" applyAlignment="1" applyProtection="1">
      <alignment horizontal="left" vertical="center" wrapText="1"/>
      <protection locked="0"/>
    </xf>
    <xf numFmtId="0" fontId="32" fillId="13" borderId="6" xfId="0" applyFont="1" applyFill="1" applyBorder="1" applyAlignment="1">
      <alignment horizontal="center" vertical="center"/>
    </xf>
    <xf numFmtId="0" fontId="3" fillId="2" borderId="6" xfId="0" applyFont="1" applyFill="1" applyBorder="1" applyAlignment="1">
      <alignment vertical="center" wrapText="1"/>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31" borderId="56" xfId="4" applyNumberFormat="1" applyFont="1" applyFill="1" applyBorder="1" applyAlignment="1">
      <alignment horizontal="center" vertical="center" wrapText="1"/>
    </xf>
    <xf numFmtId="164" fontId="39" fillId="31"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0" fontId="40" fillId="2" borderId="56" xfId="0" applyFont="1" applyFill="1" applyBorder="1" applyAlignment="1" applyProtection="1">
      <alignment horizontal="justify" vertical="center" wrapText="1"/>
      <protection locked="0"/>
    </xf>
    <xf numFmtId="9" fontId="0" fillId="0" borderId="56" xfId="0" applyNumberFormat="1" applyBorder="1" applyAlignment="1">
      <alignment horizontal="center" vertical="center"/>
    </xf>
    <xf numFmtId="0" fontId="0" fillId="0" borderId="56" xfId="0" applyBorder="1"/>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2" fontId="31" fillId="3" borderId="7" xfId="2" applyNumberFormat="1" applyFont="1" applyFill="1" applyBorder="1" applyAlignment="1" applyProtection="1">
      <alignment horizontal="center" vertical="center"/>
    </xf>
    <xf numFmtId="9" fontId="52" fillId="13" borderId="24" xfId="2" applyFont="1" applyFill="1" applyBorder="1" applyAlignment="1" applyProtection="1">
      <alignment horizontal="center" vertical="center" wrapText="1"/>
      <protection locked="0"/>
    </xf>
    <xf numFmtId="0" fontId="0" fillId="0" borderId="56" xfId="0" applyBorder="1" applyAlignment="1">
      <alignment horizontal="center"/>
    </xf>
    <xf numFmtId="9" fontId="0" fillId="0" borderId="56" xfId="2" applyFont="1" applyBorder="1" applyAlignment="1">
      <alignment horizontal="center" vertical="center"/>
    </xf>
    <xf numFmtId="9" fontId="0" fillId="0" borderId="56" xfId="0" applyNumberFormat="1" applyBorder="1" applyAlignment="1">
      <alignment horizontal="center"/>
    </xf>
    <xf numFmtId="0" fontId="50" fillId="0" borderId="0" xfId="0" applyFont="1"/>
    <xf numFmtId="0" fontId="50" fillId="0" borderId="56" xfId="0" applyFont="1" applyBorder="1" applyAlignment="1">
      <alignment horizontal="center"/>
    </xf>
    <xf numFmtId="0" fontId="37" fillId="2" borderId="56" xfId="0" applyFont="1" applyFill="1" applyBorder="1" applyAlignment="1">
      <alignment horizontal="left" vertical="center" wrapText="1"/>
    </xf>
    <xf numFmtId="9" fontId="0" fillId="0" borderId="56" xfId="2" applyFont="1" applyBorder="1" applyAlignment="1">
      <alignment horizontal="center"/>
    </xf>
    <xf numFmtId="0" fontId="40" fillId="2" borderId="57" xfId="0" applyFont="1" applyFill="1" applyBorder="1" applyAlignment="1" applyProtection="1">
      <alignment horizontal="left" vertical="center" wrapText="1"/>
      <protection locked="0"/>
    </xf>
    <xf numFmtId="0" fontId="40" fillId="2" borderId="56" xfId="0" applyFont="1" applyFill="1" applyBorder="1" applyAlignment="1" applyProtection="1">
      <alignment horizontal="left" vertical="center" wrapText="1"/>
      <protection locked="0"/>
    </xf>
    <xf numFmtId="0" fontId="12" fillId="7" borderId="56" xfId="0" applyFont="1" applyFill="1" applyBorder="1" applyAlignment="1">
      <alignment horizontal="center" vertical="center" wrapText="1"/>
    </xf>
    <xf numFmtId="9" fontId="11" fillId="0" borderId="56" xfId="2" applyFont="1" applyBorder="1" applyAlignment="1">
      <alignment horizontal="center" vertical="center"/>
    </xf>
    <xf numFmtId="0" fontId="37" fillId="2" borderId="57" xfId="0" applyFont="1" applyFill="1" applyBorder="1" applyAlignment="1">
      <alignment vertical="center" wrapText="1"/>
    </xf>
    <xf numFmtId="9" fontId="0" fillId="2" borderId="56" xfId="2" applyFont="1" applyFill="1" applyBorder="1" applyAlignment="1">
      <alignment horizontal="center" vertical="center"/>
    </xf>
    <xf numFmtId="9" fontId="0" fillId="2" borderId="56" xfId="0" applyNumberFormat="1" applyFill="1" applyBorder="1" applyAlignment="1">
      <alignment horizontal="center" vertical="center"/>
    </xf>
    <xf numFmtId="0" fontId="37" fillId="2" borderId="56" xfId="0" applyFont="1" applyFill="1" applyBorder="1" applyAlignment="1">
      <alignment vertical="center" wrapText="1"/>
    </xf>
    <xf numFmtId="0" fontId="41" fillId="2" borderId="56"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50" fillId="0" borderId="56" xfId="0" applyFont="1" applyBorder="1" applyAlignment="1">
      <alignment horizontal="center" wrapText="1"/>
    </xf>
    <xf numFmtId="9" fontId="0" fillId="0" borderId="0" xfId="0" applyNumberFormat="1" applyBorder="1"/>
    <xf numFmtId="1" fontId="12" fillId="7" borderId="56" xfId="0" applyNumberFormat="1" applyFont="1" applyFill="1" applyBorder="1" applyAlignment="1">
      <alignment horizontal="center" vertical="center" wrapText="1"/>
    </xf>
    <xf numFmtId="1" fontId="0" fillId="0" borderId="56" xfId="0" applyNumberFormat="1" applyBorder="1" applyAlignment="1">
      <alignment horizontal="center"/>
    </xf>
    <xf numFmtId="0" fontId="25" fillId="7" borderId="56" xfId="0" applyFont="1" applyFill="1" applyBorder="1" applyAlignment="1">
      <alignment horizontal="center" vertical="center" wrapText="1"/>
    </xf>
    <xf numFmtId="0" fontId="49" fillId="2" borderId="56" xfId="0" applyFont="1" applyFill="1" applyBorder="1" applyAlignment="1" applyProtection="1">
      <alignment horizontal="justify" vertical="center" wrapText="1"/>
      <protection locked="0"/>
    </xf>
    <xf numFmtId="0" fontId="54" fillId="2" borderId="56" xfId="0" applyFont="1" applyFill="1" applyBorder="1" applyAlignment="1" applyProtection="1">
      <alignment horizontal="justify" vertical="center" wrapText="1"/>
      <protection locked="0"/>
    </xf>
    <xf numFmtId="0" fontId="12" fillId="7" borderId="60" xfId="0" applyFont="1" applyFill="1" applyBorder="1" applyAlignment="1">
      <alignment horizontal="center" vertical="center" wrapText="1"/>
    </xf>
    <xf numFmtId="0" fontId="12" fillId="2" borderId="0" xfId="0" applyFont="1" applyFill="1" applyBorder="1" applyAlignment="1">
      <alignment horizontal="center" vertical="center" wrapText="1"/>
    </xf>
    <xf numFmtId="9" fontId="0" fillId="2" borderId="0" xfId="0" applyNumberFormat="1" applyFill="1" applyBorder="1" applyAlignment="1">
      <alignment horizontal="center"/>
    </xf>
    <xf numFmtId="0" fontId="0" fillId="0" borderId="60" xfId="0" applyBorder="1" applyAlignment="1">
      <alignment horizontal="center"/>
    </xf>
    <xf numFmtId="0" fontId="37" fillId="2" borderId="56" xfId="0" applyFont="1" applyFill="1" applyBorder="1" applyAlignment="1" applyProtection="1">
      <alignment horizontal="justify" vertical="center" wrapText="1"/>
      <protection locked="0"/>
    </xf>
    <xf numFmtId="0" fontId="41" fillId="2" borderId="56" xfId="0" applyFont="1" applyFill="1" applyBorder="1" applyAlignment="1">
      <alignment horizontal="center" vertical="center"/>
    </xf>
    <xf numFmtId="0" fontId="40" fillId="2" borderId="56" xfId="0" applyFont="1" applyFill="1" applyBorder="1" applyAlignment="1" applyProtection="1">
      <alignment horizontal="justify"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6" fillId="6" borderId="7" xfId="0" applyFont="1" applyFill="1" applyBorder="1" applyAlignment="1">
      <alignment horizontal="center" vertic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10" fontId="31" fillId="2" borderId="33" xfId="0" applyNumberFormat="1" applyFont="1" applyFill="1" applyBorder="1" applyAlignment="1" applyProtection="1">
      <alignment horizontal="center" vertical="center" wrapText="1"/>
      <protection locked="0"/>
    </xf>
    <xf numFmtId="10" fontId="31" fillId="2" borderId="30" xfId="0" applyNumberFormat="1" applyFont="1" applyFill="1" applyBorder="1" applyAlignment="1" applyProtection="1">
      <alignment horizontal="center" vertical="center" wrapText="1"/>
      <protection locked="0"/>
    </xf>
    <xf numFmtId="10" fontId="31" fillId="2" borderId="32" xfId="0" applyNumberFormat="1" applyFont="1" applyFill="1" applyBorder="1" applyAlignment="1" applyProtection="1">
      <alignment horizontal="center" vertical="center" wrapText="1"/>
      <protection locked="0"/>
    </xf>
    <xf numFmtId="0" fontId="31" fillId="2" borderId="10"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0" fontId="28" fillId="2" borderId="7" xfId="3" applyFont="1" applyFill="1" applyBorder="1" applyAlignment="1">
      <alignment horizontal="center" vertical="center" wrapText="1"/>
    </xf>
    <xf numFmtId="0" fontId="28" fillId="2" borderId="27" xfId="3" applyFont="1" applyFill="1" applyBorder="1" applyAlignment="1">
      <alignment horizontal="center" vertical="center" wrapText="1"/>
    </xf>
    <xf numFmtId="0" fontId="28" fillId="2" borderId="41" xfId="3" applyFont="1" applyFill="1" applyBorder="1" applyAlignment="1">
      <alignment horizontal="center" vertical="center" wrapText="1"/>
    </xf>
    <xf numFmtId="0" fontId="31" fillId="2" borderId="39" xfId="0" applyFont="1" applyFill="1" applyBorder="1" applyAlignment="1" applyProtection="1">
      <alignment horizontal="center" vertical="center" wrapText="1"/>
      <protection locked="0"/>
    </xf>
    <xf numFmtId="0" fontId="28" fillId="2" borderId="4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30" borderId="16" xfId="3" applyFont="1" applyFill="1" applyBorder="1" applyAlignment="1">
      <alignment horizontal="center" vertical="center" wrapText="1"/>
    </xf>
    <xf numFmtId="0" fontId="28" fillId="30" borderId="18" xfId="3" applyFont="1" applyFill="1" applyBorder="1" applyAlignment="1">
      <alignment horizontal="center" vertical="center" wrapText="1"/>
    </xf>
    <xf numFmtId="0" fontId="28" fillId="30" borderId="19" xfId="3" applyFont="1" applyFill="1" applyBorder="1" applyAlignment="1">
      <alignment horizontal="center" vertical="center" wrapText="1"/>
    </xf>
    <xf numFmtId="0" fontId="28" fillId="30" borderId="21" xfId="3" applyFont="1" applyFill="1" applyBorder="1" applyAlignment="1">
      <alignment horizontal="center" vertical="center" wrapText="1"/>
    </xf>
    <xf numFmtId="0" fontId="28" fillId="30" borderId="17" xfId="3" applyFont="1" applyFill="1" applyBorder="1" applyAlignment="1">
      <alignment horizontal="center" vertical="center" wrapText="1"/>
    </xf>
    <xf numFmtId="0" fontId="28" fillId="30" borderId="20" xfId="3" applyFont="1" applyFill="1" applyBorder="1" applyAlignment="1">
      <alignment horizontal="center" vertical="center" wrapText="1"/>
    </xf>
    <xf numFmtId="0" fontId="28" fillId="30" borderId="42" xfId="3" applyFont="1" applyFill="1" applyBorder="1" applyAlignment="1">
      <alignment horizontal="center" vertical="center" wrapText="1"/>
    </xf>
    <xf numFmtId="0" fontId="28" fillId="30" borderId="39" xfId="3" applyFont="1" applyFill="1" applyBorder="1" applyAlignment="1">
      <alignment horizontal="center" vertical="center" wrapText="1"/>
    </xf>
    <xf numFmtId="0" fontId="28" fillId="30" borderId="25" xfId="3" applyFont="1" applyFill="1" applyBorder="1" applyAlignment="1">
      <alignment horizontal="center" vertical="center" wrapText="1"/>
    </xf>
    <xf numFmtId="0" fontId="28" fillId="2" borderId="27" xfId="0" applyFont="1" applyFill="1" applyBorder="1" applyAlignment="1">
      <alignment horizontal="center" vertical="center"/>
    </xf>
    <xf numFmtId="0" fontId="28" fillId="2" borderId="41" xfId="0"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48" xfId="3" applyFont="1" applyFill="1" applyBorder="1" applyAlignment="1">
      <alignment horizontal="center" vertical="center" wrapText="1"/>
    </xf>
    <xf numFmtId="0" fontId="28" fillId="2" borderId="19" xfId="3" applyFont="1" applyFill="1" applyBorder="1" applyAlignment="1">
      <alignment horizontal="center" vertical="center" wrapText="1"/>
    </xf>
    <xf numFmtId="0" fontId="28" fillId="2" borderId="21" xfId="3" applyFont="1" applyFill="1" applyBorder="1" applyAlignment="1">
      <alignment horizontal="center" vertical="center" wrapText="1"/>
    </xf>
    <xf numFmtId="9" fontId="53" fillId="13" borderId="47" xfId="2" applyFont="1" applyFill="1" applyBorder="1" applyAlignment="1" applyProtection="1">
      <alignment horizontal="center" vertical="center" wrapText="1"/>
      <protection locked="0"/>
    </xf>
    <xf numFmtId="9" fontId="53" fillId="13" borderId="19" xfId="2" applyFont="1" applyFill="1" applyBorder="1" applyAlignment="1" applyProtection="1">
      <alignment horizontal="center" vertical="center" wrapText="1"/>
      <protection locked="0"/>
    </xf>
    <xf numFmtId="9" fontId="52" fillId="11" borderId="33" xfId="2" applyFont="1" applyFill="1" applyBorder="1" applyAlignment="1" applyProtection="1">
      <alignment horizontal="center" vertical="center" wrapText="1"/>
      <protection locked="0"/>
    </xf>
    <xf numFmtId="9" fontId="52" fillId="11" borderId="30" xfId="2" applyFont="1" applyFill="1" applyBorder="1" applyAlignment="1" applyProtection="1">
      <alignment horizontal="center" vertical="center" wrapText="1"/>
      <protection locked="0"/>
    </xf>
    <xf numFmtId="9" fontId="52"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0" fontId="28" fillId="6" borderId="7"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9" fontId="51" fillId="8" borderId="33" xfId="0" applyNumberFormat="1" applyFont="1" applyFill="1" applyBorder="1" applyAlignment="1" applyProtection="1">
      <alignment horizontal="center" vertical="center" wrapText="1"/>
      <protection locked="0"/>
    </xf>
    <xf numFmtId="9" fontId="51" fillId="8" borderId="30" xfId="0" applyNumberFormat="1" applyFont="1" applyFill="1" applyBorder="1" applyAlignment="1" applyProtection="1">
      <alignment horizontal="center" vertical="center" wrapText="1"/>
      <protection locked="0"/>
    </xf>
    <xf numFmtId="9" fontId="51" fillId="8" borderId="32" xfId="0" applyNumberFormat="1" applyFont="1" applyFill="1" applyBorder="1" applyAlignment="1" applyProtection="1">
      <alignment horizontal="center" vertical="center" wrapText="1"/>
      <protection locked="0"/>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28" fillId="6" borderId="8"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44" fillId="21" borderId="60" xfId="0" applyFont="1" applyFill="1" applyBorder="1" applyAlignment="1">
      <alignment horizontal="center" vertical="center"/>
    </xf>
    <xf numFmtId="0" fontId="44" fillId="21" borderId="61" xfId="0" applyFont="1" applyFill="1" applyBorder="1" applyAlignment="1">
      <alignment horizontal="center" vertical="center"/>
    </xf>
    <xf numFmtId="0" fontId="40" fillId="2" borderId="56" xfId="0" applyFont="1" applyFill="1" applyBorder="1" applyAlignment="1" applyProtection="1">
      <alignment horizontal="justify" vertical="center" wrapText="1"/>
      <protection locked="0"/>
    </xf>
    <xf numFmtId="0" fontId="40" fillId="2" borderId="56" xfId="0" applyFont="1" applyFill="1" applyBorder="1" applyAlignment="1" applyProtection="1">
      <alignment horizontal="center" vertical="center" wrapText="1"/>
      <protection locked="0"/>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55" fillId="7" borderId="62" xfId="0" applyFont="1" applyFill="1" applyBorder="1" applyAlignment="1">
      <alignment horizontal="center" vertical="center"/>
    </xf>
    <xf numFmtId="0" fontId="55" fillId="7" borderId="0" xfId="0" applyFont="1" applyFill="1" applyAlignment="1">
      <alignment horizontal="center" vertical="center"/>
    </xf>
    <xf numFmtId="0" fontId="41" fillId="7" borderId="63" xfId="0" applyFont="1" applyFill="1" applyBorder="1" applyAlignment="1">
      <alignment horizontal="center" vertical="center"/>
    </xf>
    <xf numFmtId="0" fontId="41" fillId="7" borderId="64" xfId="0" applyFont="1" applyFill="1" applyBorder="1" applyAlignment="1">
      <alignment horizontal="center" vertical="center"/>
    </xf>
    <xf numFmtId="0" fontId="41" fillId="7" borderId="63" xfId="0" applyFont="1" applyFill="1" applyBorder="1" applyAlignment="1">
      <alignment horizontal="center" vertical="center" wrapText="1"/>
    </xf>
    <xf numFmtId="0" fontId="41" fillId="7" borderId="64" xfId="0" applyFont="1" applyFill="1" applyBorder="1" applyAlignment="1">
      <alignment horizontal="center" vertical="center" wrapText="1"/>
    </xf>
    <xf numFmtId="0" fontId="55" fillId="7" borderId="65" xfId="0" applyFont="1" applyFill="1" applyBorder="1" applyAlignment="1">
      <alignment horizontal="center" vertical="center"/>
    </xf>
    <xf numFmtId="0" fontId="55" fillId="7" borderId="66" xfId="0" applyFont="1" applyFill="1" applyBorder="1" applyAlignment="1">
      <alignment horizontal="center" vertical="center"/>
    </xf>
    <xf numFmtId="0" fontId="41" fillId="7" borderId="65" xfId="0" applyFont="1" applyFill="1" applyBorder="1" applyAlignment="1">
      <alignment horizontal="center" vertical="center"/>
    </xf>
    <xf numFmtId="0" fontId="41" fillId="7" borderId="67" xfId="0" applyFont="1" applyFill="1" applyBorder="1" applyAlignment="1">
      <alignment horizontal="center" vertical="center"/>
    </xf>
    <xf numFmtId="0" fontId="41" fillId="7" borderId="65" xfId="0" applyFont="1" applyFill="1" applyBorder="1" applyAlignment="1">
      <alignment horizontal="center" vertical="center" wrapText="1"/>
    </xf>
    <xf numFmtId="0" fontId="41" fillId="7" borderId="67" xfId="0" applyFont="1" applyFill="1" applyBorder="1" applyAlignment="1">
      <alignment horizontal="center" vertical="center" wrapText="1"/>
    </xf>
    <xf numFmtId="0" fontId="41" fillId="7" borderId="60" xfId="0" applyFont="1" applyFill="1" applyBorder="1" applyAlignment="1">
      <alignment horizontal="center" vertical="center"/>
    </xf>
    <xf numFmtId="0" fontId="50" fillId="7" borderId="56" xfId="0" applyFont="1" applyFill="1" applyBorder="1" applyAlignment="1">
      <alignment horizontal="center" vertical="center"/>
    </xf>
    <xf numFmtId="0" fontId="50" fillId="7" borderId="56" xfId="0" applyFont="1" applyFill="1" applyBorder="1" applyAlignment="1">
      <alignment horizontal="center" vertical="center" wrapText="1"/>
    </xf>
    <xf numFmtId="0" fontId="37" fillId="2" borderId="57" xfId="0" applyFont="1" applyFill="1" applyBorder="1" applyAlignment="1">
      <alignment horizontal="center" vertical="center" wrapText="1"/>
    </xf>
    <xf numFmtId="0" fontId="37" fillId="2" borderId="57" xfId="0" applyFont="1" applyFill="1" applyBorder="1" applyAlignment="1">
      <alignment horizontal="left" vertical="center" wrapText="1"/>
    </xf>
    <xf numFmtId="9" fontId="56" fillId="32" borderId="68" xfId="0" applyNumberFormat="1" applyFont="1" applyFill="1" applyBorder="1" applyAlignment="1">
      <alignment horizontal="center" vertical="center" wrapText="1" readingOrder="1"/>
    </xf>
    <xf numFmtId="0" fontId="37" fillId="2" borderId="57" xfId="0" applyFont="1" applyFill="1" applyBorder="1" applyAlignment="1">
      <alignment horizontal="left" vertical="center" wrapText="1"/>
    </xf>
    <xf numFmtId="9" fontId="50" fillId="18" borderId="56" xfId="2" applyFont="1" applyFill="1" applyBorder="1" applyAlignment="1">
      <alignment horizontal="center" vertical="center"/>
    </xf>
    <xf numFmtId="0" fontId="37" fillId="2" borderId="69"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40" fillId="2" borderId="56" xfId="0" applyFont="1" applyFill="1" applyBorder="1" applyAlignment="1" applyProtection="1">
      <alignment horizontal="left" vertical="center" wrapText="1"/>
      <protection locked="0"/>
    </xf>
    <xf numFmtId="0" fontId="56" fillId="0" borderId="68" xfId="0" applyFont="1" applyBorder="1" applyAlignment="1">
      <alignment horizontal="center" vertical="center" wrapText="1" readingOrder="1"/>
    </xf>
    <xf numFmtId="0" fontId="56" fillId="32" borderId="68" xfId="0" applyFont="1" applyFill="1" applyBorder="1" applyAlignment="1">
      <alignment horizontal="center" vertical="center" wrapText="1" readingOrder="1"/>
    </xf>
    <xf numFmtId="0" fontId="56" fillId="18" borderId="68" xfId="0" applyFont="1" applyFill="1" applyBorder="1" applyAlignment="1">
      <alignment horizontal="center" vertical="center" wrapText="1" readingOrder="1"/>
    </xf>
    <xf numFmtId="0" fontId="40" fillId="2" borderId="57" xfId="0" applyFont="1" applyFill="1" applyBorder="1" applyAlignment="1" applyProtection="1">
      <alignment horizontal="left" vertical="center" wrapText="1"/>
      <protection locked="0"/>
    </xf>
    <xf numFmtId="9" fontId="56" fillId="0" borderId="68" xfId="0" applyNumberFormat="1" applyFont="1" applyBorder="1" applyAlignment="1">
      <alignment horizontal="center" vertical="center" wrapText="1" readingOrder="1"/>
    </xf>
    <xf numFmtId="0" fontId="40" fillId="2" borderId="69" xfId="0" applyFont="1" applyFill="1" applyBorder="1" applyAlignment="1" applyProtection="1">
      <alignment horizontal="left" vertical="center" wrapText="1"/>
      <protection locked="0"/>
    </xf>
    <xf numFmtId="9" fontId="56" fillId="15" borderId="68" xfId="0" applyNumberFormat="1" applyFont="1" applyFill="1" applyBorder="1" applyAlignment="1">
      <alignment horizontal="center" vertical="center" wrapText="1" readingOrder="1"/>
    </xf>
    <xf numFmtId="0" fontId="50" fillId="9" borderId="56" xfId="0" applyFont="1" applyFill="1" applyBorder="1" applyAlignment="1">
      <alignment horizontal="center" vertical="center"/>
    </xf>
    <xf numFmtId="0" fontId="57" fillId="0" borderId="56" xfId="0" applyFont="1" applyBorder="1" applyAlignment="1">
      <alignment horizontal="left" vertical="center" wrapText="1"/>
    </xf>
    <xf numFmtId="0" fontId="57" fillId="0" borderId="56" xfId="0" applyFont="1" applyBorder="1" applyAlignment="1">
      <alignment horizontal="left" vertical="center"/>
    </xf>
    <xf numFmtId="0" fontId="50" fillId="9" borderId="56" xfId="0" applyFont="1" applyFill="1" applyBorder="1" applyAlignment="1">
      <alignment horizontal="center" vertical="center" wrapText="1"/>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12">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F4AD7C"/>
      <color rgb="FF00FFFF"/>
      <color rgb="FFFF0066"/>
      <color rgb="FF00FF00"/>
      <color rgb="FF9966FF"/>
      <color rgb="FFFF0000"/>
      <color rgb="FFFF66CC"/>
      <color rgb="FF0066FF"/>
      <color rgb="FFFFE89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75%</c:v>
                </c:pt>
                <c:pt idx="1">
                  <c:v>86%</c:v>
                </c:pt>
                <c:pt idx="2">
                  <c:v>76%</c:v>
                </c:pt>
                <c:pt idx="3">
                  <c:v>67%</c:v>
                </c:pt>
                <c:pt idx="4">
                  <c:v>61%</c:v>
                </c:pt>
                <c:pt idx="5">
                  <c:v>66%</c:v>
                </c:pt>
                <c:pt idx="6">
                  <c:v>75%</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0.75</c:v>
                </c:pt>
                <c:pt idx="1">
                  <c:v>0.86</c:v>
                </c:pt>
                <c:pt idx="2">
                  <c:v>0.76</c:v>
                </c:pt>
                <c:pt idx="3">
                  <c:v>0.67</c:v>
                </c:pt>
                <c:pt idx="4">
                  <c:v>0.61</c:v>
                </c:pt>
                <c:pt idx="5">
                  <c:v>0.66</c:v>
                </c:pt>
                <c:pt idx="6">
                  <c:v>0.75</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3.9046771993293407E-2"/>
          <c:y val="0.64165086872398236"/>
          <c:w val="0.28691790412432466"/>
          <c:h val="0.358349131276017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ova Light" panose="020B0304020202020204" pitchFamily="34" charset="0"/>
                <a:ea typeface="+mn-ea"/>
                <a:cs typeface="+mn-cs"/>
              </a:defRPr>
            </a:pPr>
            <a:r>
              <a:rPr lang="es-CO" sz="1400" b="1" i="0" baseline="0">
                <a:effectLst/>
                <a:latin typeface="Century Gothic" panose="020B0502020202020204" pitchFamily="34" charset="0"/>
              </a:rPr>
              <a:t>Meta Estratégica 4.1 Cuerpos de Agua </a:t>
            </a:r>
            <a:endParaRPr lang="es-CO" sz="1100">
              <a:effectLst/>
              <a:latin typeface="Century Gothic" panose="020B0502020202020204" pitchFamily="34" charset="0"/>
            </a:endParaRPr>
          </a:p>
        </c:rich>
      </c:tx>
      <c:layout>
        <c:manualLayout>
          <c:xMode val="edge"/>
          <c:yMode val="edge"/>
          <c:x val="0.17006060606060608"/>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ova Light" panose="020B0304020202020204" pitchFamily="34" charset="0"/>
              <a:ea typeface="+mn-ea"/>
              <a:cs typeface="+mn-cs"/>
            </a:defRPr>
          </a:pPr>
          <a:endParaRPr lang="es-CO"/>
        </a:p>
      </c:txPr>
    </c:title>
    <c:autoTitleDeleted val="0"/>
    <c:plotArea>
      <c:layout>
        <c:manualLayout>
          <c:layoutTarget val="inner"/>
          <c:xMode val="edge"/>
          <c:yMode val="edge"/>
          <c:x val="8.3233814523184596E-2"/>
          <c:y val="0.19486111111111112"/>
          <c:w val="0.87232174103237092"/>
          <c:h val="0.72088764946048411"/>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2-3648-474D-A56D-8396120491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4'!$B$8:$C$8</c:f>
              <c:strCache>
                <c:ptCount val="2"/>
                <c:pt idx="0">
                  <c:v>Meta Vigencia 2021</c:v>
                </c:pt>
                <c:pt idx="1">
                  <c:v>Cumplimiento  Acumulado vigencia 2021</c:v>
                </c:pt>
              </c:strCache>
            </c:strRef>
          </c:cat>
          <c:val>
            <c:numRef>
              <c:f>'Objetivo 4'!$B$9:$C$9</c:f>
              <c:numCache>
                <c:formatCode>0%</c:formatCode>
                <c:ptCount val="2"/>
                <c:pt idx="0">
                  <c:v>1</c:v>
                </c:pt>
                <c:pt idx="1">
                  <c:v>1</c:v>
                </c:pt>
              </c:numCache>
            </c:numRef>
          </c:val>
          <c:extLst>
            <c:ext xmlns:c16="http://schemas.microsoft.com/office/drawing/2014/chart" uri="{C3380CC4-5D6E-409C-BE32-E72D297353CC}">
              <c16:uniqueId val="{00000000-3648-474D-A56D-839612049131}"/>
            </c:ext>
          </c:extLst>
        </c:ser>
        <c:dLbls>
          <c:dLblPos val="outEnd"/>
          <c:showLegendKey val="0"/>
          <c:showVal val="1"/>
          <c:showCatName val="0"/>
          <c:showSerName val="0"/>
          <c:showPercent val="0"/>
          <c:showBubbleSize val="0"/>
        </c:dLbls>
        <c:gapWidth val="219"/>
        <c:overlap val="-27"/>
        <c:axId val="1454218560"/>
        <c:axId val="1175432400"/>
      </c:barChart>
      <c:catAx>
        <c:axId val="145421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75432400"/>
        <c:crosses val="autoZero"/>
        <c:auto val="1"/>
        <c:lblAlgn val="ctr"/>
        <c:lblOffset val="100"/>
        <c:noMultiLvlLbl val="0"/>
      </c:catAx>
      <c:valAx>
        <c:axId val="1175432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4218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56121750242365E-2"/>
          <c:y val="0.17083338938103326"/>
          <c:w val="0.89036569621712869"/>
          <c:h val="0.75334047025605977"/>
        </c:manualLayout>
      </c:layout>
      <c:barChart>
        <c:barDir val="col"/>
        <c:grouping val="clustered"/>
        <c:varyColors val="0"/>
        <c:ser>
          <c:idx val="1"/>
          <c:order val="0"/>
          <c:spPr>
            <a:solidFill>
              <a:schemeClr val="accent1"/>
            </a:solidFill>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14-F94C-4B94-B208-3A0D3F9BA162}"/>
              </c:ext>
            </c:extLst>
          </c:dPt>
          <c:dLbls>
            <c:spPr>
              <a:noFill/>
              <a:ln>
                <a:noFill/>
              </a:ln>
              <a:effectLst/>
            </c:spPr>
            <c:txPr>
              <a:bodyPr/>
              <a:lstStyle/>
              <a:p>
                <a:pPr>
                  <a:defRPr b="0">
                    <a:latin typeface="Century Gothic" panose="020B0502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'Objetivo 4'!$B$27:$C$27</c:f>
              <c:strCache>
                <c:ptCount val="2"/>
                <c:pt idx="0">
                  <c:v>Meta Vigencia 2021</c:v>
                </c:pt>
                <c:pt idx="1">
                  <c:v>Cumplimiento  Acumulado vigencia 2021</c:v>
                </c:pt>
              </c:strCache>
            </c:strRef>
          </c:cat>
          <c:val>
            <c:numRef>
              <c:f>'Objetivo 4'!$B$28:$C$28</c:f>
              <c:numCache>
                <c:formatCode>0%</c:formatCode>
                <c:ptCount val="2"/>
                <c:pt idx="0">
                  <c:v>1</c:v>
                </c:pt>
                <c:pt idx="1">
                  <c:v>0.33</c:v>
                </c:pt>
              </c:numCache>
            </c:numRef>
          </c:val>
          <c:extLst>
            <c:ext xmlns:c16="http://schemas.microsoft.com/office/drawing/2014/chart" uri="{C3380CC4-5D6E-409C-BE32-E72D297353CC}">
              <c16:uniqueId val="{00000013-F94C-4B94-B208-3A0D3F9BA162}"/>
            </c:ext>
          </c:extLst>
        </c:ser>
        <c:dLbls>
          <c:dLblPos val="outEnd"/>
          <c:showLegendKey val="0"/>
          <c:showVal val="1"/>
          <c:showCatName val="0"/>
          <c:showSerName val="0"/>
          <c:showPercent val="0"/>
          <c:showBubbleSize val="0"/>
        </c:dLbls>
        <c:gapWidth val="219"/>
        <c:overlap val="-27"/>
        <c:axId val="1402124336"/>
        <c:axId val="1180689040"/>
      </c:barChart>
      <c:catAx>
        <c:axId val="140212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latin typeface="Century Gothic" panose="020B0502020202020204" pitchFamily="34" charset="0"/>
              </a:defRPr>
            </a:pPr>
            <a:endParaRPr lang="es-CO"/>
          </a:p>
        </c:txPr>
        <c:crossAx val="1180689040"/>
        <c:crosses val="autoZero"/>
        <c:auto val="1"/>
        <c:lblAlgn val="ctr"/>
        <c:lblOffset val="100"/>
        <c:noMultiLvlLbl val="0"/>
      </c:catAx>
      <c:valAx>
        <c:axId val="1180689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s-CO"/>
          </a:p>
        </c:txPr>
        <c:crossAx val="1402124336"/>
        <c:crosses val="autoZero"/>
        <c:crossBetween val="between"/>
      </c:valAx>
    </c:plotArea>
    <c:plotVisOnly val="1"/>
    <c:dispBlanksAs val="gap"/>
    <c:showDLblsOverMax val="0"/>
    <c:extLst/>
  </c:chart>
  <c:txPr>
    <a:bodyPr/>
    <a:lstStyle/>
    <a:p>
      <a:pPr>
        <a:defRPr sz="800" b="0">
          <a:latin typeface="Arial Nova Light" panose="020B0304020202020204" pitchFamily="34" charset="0"/>
        </a:defRPr>
      </a:pPr>
      <a:endParaRPr lang="es-CO"/>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s-CO" sz="1200" b="1" i="0" u="none" strike="noStrike" baseline="0">
                <a:effectLst/>
                <a:latin typeface="Century Gothic" panose="020B0502020202020204" pitchFamily="34" charset="0"/>
              </a:rPr>
              <a:t>Meta Estratégica </a:t>
            </a:r>
            <a:r>
              <a:rPr lang="es-CO" sz="1200">
                <a:latin typeface="Century Gothic" panose="020B0502020202020204" pitchFamily="34" charset="0"/>
              </a:rPr>
              <a:t> </a:t>
            </a:r>
            <a:r>
              <a:rPr lang="es-CO" sz="1200" b="1">
                <a:latin typeface="Century Gothic" panose="020B0502020202020204" pitchFamily="34" charset="0"/>
              </a:rPr>
              <a:t>4.3  Adecuar (600) predios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4344925634295695E-2"/>
          <c:y val="0.13004629629629633"/>
          <c:w val="0.87232174103237092"/>
          <c:h val="0.7208876494604841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2'!$B$11:$C$11</c:f>
              <c:strCache>
                <c:ptCount val="2"/>
                <c:pt idx="0">
                  <c:v>Meta Vigencia 2021</c:v>
                </c:pt>
                <c:pt idx="1">
                  <c:v>Cumplimiento  Acumulado vigencia 2021</c:v>
                </c:pt>
              </c:strCache>
            </c:strRef>
          </c:cat>
          <c:val>
            <c:numRef>
              <c:f>'Objetivo 2'!$B$12:$C$12</c:f>
              <c:numCache>
                <c:formatCode>0%</c:formatCode>
                <c:ptCount val="2"/>
                <c:pt idx="0">
                  <c:v>0</c:v>
                </c:pt>
                <c:pt idx="1">
                  <c:v>0</c:v>
                </c:pt>
              </c:numCache>
            </c:numRef>
          </c:val>
          <c:extLst>
            <c:ext xmlns:c16="http://schemas.microsoft.com/office/drawing/2014/chart" uri="{C3380CC4-5D6E-409C-BE32-E72D297353CC}">
              <c16:uniqueId val="{00000000-421E-4CAE-A36D-0CA9029D9762}"/>
            </c:ext>
          </c:extLst>
        </c:ser>
        <c:dLbls>
          <c:dLblPos val="inEnd"/>
          <c:showLegendKey val="0"/>
          <c:showVal val="1"/>
          <c:showCatName val="0"/>
          <c:showSerName val="0"/>
          <c:showPercent val="0"/>
          <c:showBubbleSize val="0"/>
        </c:dLbls>
        <c:gapWidth val="219"/>
        <c:overlap val="-27"/>
        <c:axId val="1231116736"/>
        <c:axId val="1231714640"/>
      </c:barChart>
      <c:catAx>
        <c:axId val="123111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14640"/>
        <c:crosses val="autoZero"/>
        <c:auto val="1"/>
        <c:lblAlgn val="ctr"/>
        <c:lblOffset val="100"/>
        <c:noMultiLvlLbl val="0"/>
      </c:catAx>
      <c:valAx>
        <c:axId val="1231714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116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r>
              <a:rPr lang="es-CO" sz="1100" b="1" i="0" baseline="0">
                <a:effectLst/>
                <a:latin typeface="Century Gothic" panose="020B0502020202020204" pitchFamily="34" charset="0"/>
              </a:rPr>
              <a:t>Meta Estratégica 5.1 Administrar y operar eficientemente un (1) Centro Distrital Logístico y de Reserva </a:t>
            </a:r>
            <a:endParaRPr lang="es-CO" sz="1100">
              <a:effectLst/>
              <a:latin typeface="Century Gothic" panose="020B0502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100">
                <a:solidFill>
                  <a:sysClr val="windowText" lastClr="000000">
                    <a:lumMod val="65000"/>
                    <a:lumOff val="35000"/>
                  </a:sysClr>
                </a:solidFill>
              </a:defRPr>
            </a:pPr>
            <a:endParaRPr lang="es-CO" sz="1100"/>
          </a:p>
        </c:rich>
      </c:tx>
      <c:layout>
        <c:manualLayout>
          <c:xMode val="edge"/>
          <c:yMode val="edge"/>
          <c:x val="0.1149734383202099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2-B463-436D-A986-380FF2D363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5'!$B$6:$C$6</c:f>
              <c:strCache>
                <c:ptCount val="2"/>
                <c:pt idx="0">
                  <c:v>Meta Vigencia 2021</c:v>
                </c:pt>
                <c:pt idx="1">
                  <c:v>Cumplimiento  Acumulado vigencia 2021</c:v>
                </c:pt>
              </c:strCache>
            </c:strRef>
          </c:cat>
          <c:val>
            <c:numRef>
              <c:f>'Objetivo 5'!$B$7:$C$7</c:f>
              <c:numCache>
                <c:formatCode>0%</c:formatCode>
                <c:ptCount val="2"/>
                <c:pt idx="0">
                  <c:v>1</c:v>
                </c:pt>
                <c:pt idx="1">
                  <c:v>0.75</c:v>
                </c:pt>
              </c:numCache>
            </c:numRef>
          </c:val>
          <c:extLst>
            <c:ext xmlns:c16="http://schemas.microsoft.com/office/drawing/2014/chart" uri="{C3380CC4-5D6E-409C-BE32-E72D297353CC}">
              <c16:uniqueId val="{00000000-B463-436D-A986-380FF2D363F3}"/>
            </c:ext>
          </c:extLst>
        </c:ser>
        <c:dLbls>
          <c:dLblPos val="outEnd"/>
          <c:showLegendKey val="0"/>
          <c:showVal val="1"/>
          <c:showCatName val="0"/>
          <c:showSerName val="0"/>
          <c:showPercent val="0"/>
          <c:showBubbleSize val="0"/>
        </c:dLbls>
        <c:gapWidth val="219"/>
        <c:overlap val="-27"/>
        <c:axId val="1394916448"/>
        <c:axId val="1168467952"/>
      </c:barChart>
      <c:catAx>
        <c:axId val="13949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s-CO"/>
          </a:p>
        </c:txPr>
        <c:crossAx val="1168467952"/>
        <c:crosses val="autoZero"/>
        <c:auto val="1"/>
        <c:lblAlgn val="ctr"/>
        <c:lblOffset val="100"/>
        <c:noMultiLvlLbl val="0"/>
      </c:catAx>
      <c:valAx>
        <c:axId val="1168467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916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Meta Estratégica 5.2 mplementar el  100% del plan de acción de las actividades de aglomeraciones...... </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2-9270-46DA-A957-7F88D4797E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5'!$B$31:$C$31</c:f>
              <c:strCache>
                <c:ptCount val="2"/>
                <c:pt idx="0">
                  <c:v>Meta Vigencia 2021</c:v>
                </c:pt>
                <c:pt idx="1">
                  <c:v>Cumplimiento  Acumulado vigencia 2021</c:v>
                </c:pt>
              </c:strCache>
            </c:strRef>
          </c:cat>
          <c:val>
            <c:numRef>
              <c:f>'Objetivo 5'!$B$32:$C$32</c:f>
              <c:numCache>
                <c:formatCode>0%</c:formatCode>
                <c:ptCount val="2"/>
                <c:pt idx="0">
                  <c:v>1</c:v>
                </c:pt>
                <c:pt idx="1">
                  <c:v>0.47</c:v>
                </c:pt>
              </c:numCache>
            </c:numRef>
          </c:val>
          <c:extLst>
            <c:ext xmlns:c16="http://schemas.microsoft.com/office/drawing/2014/chart" uri="{C3380CC4-5D6E-409C-BE32-E72D297353CC}">
              <c16:uniqueId val="{00000000-9270-46DA-A957-7F88D4797EA4}"/>
            </c:ext>
          </c:extLst>
        </c:ser>
        <c:dLbls>
          <c:dLblPos val="outEnd"/>
          <c:showLegendKey val="0"/>
          <c:showVal val="1"/>
          <c:showCatName val="0"/>
          <c:showSerName val="0"/>
          <c:showPercent val="0"/>
          <c:showBubbleSize val="0"/>
        </c:dLbls>
        <c:gapWidth val="219"/>
        <c:overlap val="-27"/>
        <c:axId val="1454269360"/>
        <c:axId val="1231718384"/>
      </c:barChart>
      <c:catAx>
        <c:axId val="145426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18384"/>
        <c:crosses val="autoZero"/>
        <c:auto val="1"/>
        <c:lblAlgn val="ctr"/>
        <c:lblOffset val="100"/>
        <c:noMultiLvlLbl val="0"/>
      </c:catAx>
      <c:valAx>
        <c:axId val="1231718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4269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latin typeface="Arial Nova Light" panose="020B0304020202020204" pitchFamily="34" charset="0"/>
              </a:rPr>
              <a:t>Meta Estratégica 6.1  1 estrategia de sensibilización y fortalecimiento de las capacidades de funcionarios(as) </a:t>
            </a:r>
            <a:endParaRPr lang="es-CO" sz="1100">
              <a:effectLst/>
              <a:latin typeface="Arial Nova Light" panose="020B03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4AD7C"/>
              </a:solidFill>
              <a:ln>
                <a:noFill/>
              </a:ln>
              <a:effectLst/>
            </c:spPr>
            <c:extLst>
              <c:ext xmlns:c16="http://schemas.microsoft.com/office/drawing/2014/chart" uri="{C3380CC4-5D6E-409C-BE32-E72D297353CC}">
                <c16:uniqueId val="{00000001-8D32-4052-AAE1-0B38D9E25C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6 (2)'!$C$1:$D$1</c:f>
              <c:strCache>
                <c:ptCount val="2"/>
                <c:pt idx="0">
                  <c:v>Meta Vigencia 2021</c:v>
                </c:pt>
                <c:pt idx="1">
                  <c:v>Cumplimiento  Acumulado vigencia 2021</c:v>
                </c:pt>
              </c:strCache>
            </c:strRef>
          </c:cat>
          <c:val>
            <c:numRef>
              <c:f>'Objetivo 6 (2)'!$C$2:$D$2</c:f>
              <c:numCache>
                <c:formatCode>0%</c:formatCode>
                <c:ptCount val="2"/>
                <c:pt idx="0">
                  <c:v>1</c:v>
                </c:pt>
                <c:pt idx="1">
                  <c:v>0.66</c:v>
                </c:pt>
              </c:numCache>
            </c:numRef>
          </c:val>
          <c:extLst>
            <c:ext xmlns:c16="http://schemas.microsoft.com/office/drawing/2014/chart" uri="{C3380CC4-5D6E-409C-BE32-E72D297353CC}">
              <c16:uniqueId val="{00000002-8D32-4052-AAE1-0B38D9E25CC0}"/>
            </c:ext>
          </c:extLst>
        </c:ser>
        <c:dLbls>
          <c:dLblPos val="outEnd"/>
          <c:showLegendKey val="0"/>
          <c:showVal val="1"/>
          <c:showCatName val="0"/>
          <c:showSerName val="0"/>
          <c:showPercent val="0"/>
          <c:showBubbleSize val="0"/>
        </c:dLbls>
        <c:gapWidth val="219"/>
        <c:overlap val="-27"/>
        <c:axId val="1456942880"/>
        <c:axId val="1175431984"/>
      </c:barChart>
      <c:catAx>
        <c:axId val="145694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75431984"/>
        <c:crosses val="autoZero"/>
        <c:auto val="1"/>
        <c:lblAlgn val="ctr"/>
        <c:lblOffset val="100"/>
        <c:noMultiLvlLbl val="0"/>
      </c:catAx>
      <c:valAx>
        <c:axId val="1175431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6942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latin typeface="Arial Nova Light" panose="020B0304020202020204" pitchFamily="34" charset="0"/>
              </a:rPr>
              <a:t>Meta Estratégica 7.1 Gestión MIPG Y SIG </a:t>
            </a:r>
            <a:endParaRPr lang="es-CO" sz="1400">
              <a:effectLst/>
              <a:latin typeface="Arial Nova Light" panose="020B03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4AD7C"/>
              </a:solidFill>
              <a:ln>
                <a:noFill/>
              </a:ln>
              <a:effectLst/>
            </c:spPr>
            <c:extLst>
              <c:ext xmlns:c16="http://schemas.microsoft.com/office/drawing/2014/chart" uri="{C3380CC4-5D6E-409C-BE32-E72D297353CC}">
                <c16:uniqueId val="{00000002-E056-402C-9B69-D17F5ADD7E4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7'!$C$1:$D$1</c:f>
              <c:strCache>
                <c:ptCount val="2"/>
                <c:pt idx="0">
                  <c:v>Meta Vigencia 2021</c:v>
                </c:pt>
                <c:pt idx="1">
                  <c:v>Cumplimiento  Acumulado vigencia 2021</c:v>
                </c:pt>
              </c:strCache>
            </c:strRef>
          </c:cat>
          <c:val>
            <c:numRef>
              <c:f>'Objetivo 7'!$C$2:$D$2</c:f>
              <c:numCache>
                <c:formatCode>0%</c:formatCode>
                <c:ptCount val="2"/>
                <c:pt idx="0">
                  <c:v>1</c:v>
                </c:pt>
                <c:pt idx="1">
                  <c:v>0.75</c:v>
                </c:pt>
              </c:numCache>
            </c:numRef>
          </c:val>
          <c:extLst>
            <c:ext xmlns:c16="http://schemas.microsoft.com/office/drawing/2014/chart" uri="{C3380CC4-5D6E-409C-BE32-E72D297353CC}">
              <c16:uniqueId val="{00000000-E056-402C-9B69-D17F5ADD7E44}"/>
            </c:ext>
          </c:extLst>
        </c:ser>
        <c:dLbls>
          <c:dLblPos val="outEnd"/>
          <c:showLegendKey val="0"/>
          <c:showVal val="1"/>
          <c:showCatName val="0"/>
          <c:showSerName val="0"/>
          <c:showPercent val="0"/>
          <c:showBubbleSize val="0"/>
        </c:dLbls>
        <c:gapWidth val="219"/>
        <c:overlap val="-27"/>
        <c:axId val="1456942880"/>
        <c:axId val="1175431984"/>
      </c:barChart>
      <c:catAx>
        <c:axId val="145694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75431984"/>
        <c:crosses val="autoZero"/>
        <c:auto val="1"/>
        <c:lblAlgn val="ctr"/>
        <c:lblOffset val="100"/>
        <c:noMultiLvlLbl val="0"/>
      </c:catAx>
      <c:valAx>
        <c:axId val="1175431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6942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latin typeface="Arial Nova Light" panose="020B0304020202020204" pitchFamily="34" charset="0"/>
              </a:rPr>
              <a:t>Meta Estratégica 1.1 Articulación Actores SDGRCC </a:t>
            </a:r>
            <a:endParaRPr lang="es-CO" sz="1400">
              <a:effectLst/>
              <a:latin typeface="Arial Nova Light" panose="020B0304020202020204" pitchFamily="34" charset="0"/>
            </a:endParaRPr>
          </a:p>
        </c:rich>
      </c:tx>
      <c:layout>
        <c:manualLayout>
          <c:xMode val="edge"/>
          <c:yMode val="edge"/>
          <c:x val="0.16680278337300858"/>
          <c:y val="9.876547050275900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1204602331685282"/>
          <c:y val="0.18729627191456086"/>
          <c:w val="0.87232179489341133"/>
          <c:h val="0.72088764946048411"/>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1-D950-4054-9F87-94B75DED9A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1'!$C$1:$D$1</c:f>
              <c:strCache>
                <c:ptCount val="2"/>
                <c:pt idx="0">
                  <c:v>Meta Vigencia 2021</c:v>
                </c:pt>
                <c:pt idx="1">
                  <c:v>Cumplimiento  Acumulado vigencia 2021</c:v>
                </c:pt>
              </c:strCache>
            </c:strRef>
          </c:cat>
          <c:val>
            <c:numRef>
              <c:f>'Objetivo 1'!$C$2:$D$2</c:f>
              <c:numCache>
                <c:formatCode>0%</c:formatCode>
                <c:ptCount val="2"/>
                <c:pt idx="0">
                  <c:v>1</c:v>
                </c:pt>
                <c:pt idx="1">
                  <c:v>0.75</c:v>
                </c:pt>
              </c:numCache>
            </c:numRef>
          </c:val>
          <c:extLst>
            <c:ext xmlns:c16="http://schemas.microsoft.com/office/drawing/2014/chart" uri="{C3380CC4-5D6E-409C-BE32-E72D297353CC}">
              <c16:uniqueId val="{00000000-12C9-46EE-B006-F98C4CFE19EB}"/>
            </c:ext>
          </c:extLst>
        </c:ser>
        <c:dLbls>
          <c:dLblPos val="outEnd"/>
          <c:showLegendKey val="0"/>
          <c:showVal val="1"/>
          <c:showCatName val="0"/>
          <c:showSerName val="0"/>
          <c:showPercent val="0"/>
          <c:showBubbleSize val="0"/>
        </c:dLbls>
        <c:gapWidth val="219"/>
        <c:axId val="383409328"/>
        <c:axId val="163249536"/>
      </c:barChart>
      <c:catAx>
        <c:axId val="38340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3249536"/>
        <c:crosses val="autoZero"/>
        <c:auto val="1"/>
        <c:lblAlgn val="ctr"/>
        <c:lblOffset val="100"/>
        <c:noMultiLvlLbl val="0"/>
      </c:catAx>
      <c:valAx>
        <c:axId val="163249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3409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latin typeface="Abadi Extra Light" panose="020B0204020104020204" pitchFamily="34" charset="0"/>
              </a:rPr>
              <a:t>Meta Estratégica </a:t>
            </a:r>
            <a:r>
              <a:rPr lang="es-CO">
                <a:latin typeface="Abadi Extra Light" panose="020B0204020104020204" pitchFamily="34" charset="0"/>
              </a:rPr>
              <a:t> </a:t>
            </a:r>
            <a:r>
              <a:rPr lang="es-CO" b="1">
                <a:latin typeface="Abadi Extra Light" panose="020B0204020104020204" pitchFamily="34" charset="0"/>
              </a:rPr>
              <a:t>2.1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4344925634295695E-2"/>
          <c:y val="0.13004629629629633"/>
          <c:w val="0.87232174103237092"/>
          <c:h val="0.7208876494604841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2'!$B$11:$C$11</c:f>
              <c:strCache>
                <c:ptCount val="2"/>
                <c:pt idx="0">
                  <c:v>Meta Vigencia 2021</c:v>
                </c:pt>
                <c:pt idx="1">
                  <c:v>Cumplimiento  Acumulado vigencia 2021</c:v>
                </c:pt>
              </c:strCache>
            </c:strRef>
          </c:cat>
          <c:val>
            <c:numRef>
              <c:f>'Objetivo 2'!$B$12:$C$12</c:f>
              <c:numCache>
                <c:formatCode>0%</c:formatCode>
                <c:ptCount val="2"/>
                <c:pt idx="0">
                  <c:v>0</c:v>
                </c:pt>
                <c:pt idx="1">
                  <c:v>0</c:v>
                </c:pt>
              </c:numCache>
            </c:numRef>
          </c:val>
          <c:extLst>
            <c:ext xmlns:c16="http://schemas.microsoft.com/office/drawing/2014/chart" uri="{C3380CC4-5D6E-409C-BE32-E72D297353CC}">
              <c16:uniqueId val="{00000000-DDEB-4F32-BEB2-6018450084B9}"/>
            </c:ext>
          </c:extLst>
        </c:ser>
        <c:dLbls>
          <c:dLblPos val="inEnd"/>
          <c:showLegendKey val="0"/>
          <c:showVal val="1"/>
          <c:showCatName val="0"/>
          <c:showSerName val="0"/>
          <c:showPercent val="0"/>
          <c:showBubbleSize val="0"/>
        </c:dLbls>
        <c:gapWidth val="219"/>
        <c:overlap val="-27"/>
        <c:axId val="1231116736"/>
        <c:axId val="1231714640"/>
      </c:barChart>
      <c:catAx>
        <c:axId val="123111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14640"/>
        <c:crosses val="autoZero"/>
        <c:auto val="1"/>
        <c:lblAlgn val="ctr"/>
        <c:lblOffset val="100"/>
        <c:noMultiLvlLbl val="0"/>
      </c:catAx>
      <c:valAx>
        <c:axId val="1231714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116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ova Light" panose="020B0304020202020204" pitchFamily="34" charset="0"/>
                <a:ea typeface="+mn-ea"/>
                <a:cs typeface="+mn-cs"/>
              </a:defRPr>
            </a:pPr>
            <a:r>
              <a:rPr lang="es-CO" b="1">
                <a:latin typeface="Arial Nova Light" panose="020B0304020202020204" pitchFamily="34" charset="0"/>
              </a:rPr>
              <a:t>Meta Estratégica 2.2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ova Light" panose="020B0304020202020204" pitchFamily="34" charset="0"/>
              <a:ea typeface="+mn-ea"/>
              <a:cs typeface="+mn-cs"/>
            </a:defRPr>
          </a:pPr>
          <a:endParaRPr lang="es-CO"/>
        </a:p>
      </c:txPr>
    </c:title>
    <c:autoTitleDeleted val="0"/>
    <c:plotArea>
      <c:layout>
        <c:manualLayout>
          <c:layoutTarget val="inner"/>
          <c:xMode val="edge"/>
          <c:yMode val="edge"/>
          <c:x val="0.11934492563429572"/>
          <c:y val="0.1902314814814815"/>
          <c:w val="0.87232174103237092"/>
          <c:h val="0.72088764946048411"/>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2-E830-41F6-9ADA-18950A130E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2'!$B$36:$C$36</c:f>
              <c:strCache>
                <c:ptCount val="2"/>
                <c:pt idx="0">
                  <c:v>Meta Vigencia 2021</c:v>
                </c:pt>
                <c:pt idx="1">
                  <c:v>Cumplimiento  Acumulado vigencia 2021</c:v>
                </c:pt>
              </c:strCache>
            </c:strRef>
          </c:cat>
          <c:val>
            <c:numRef>
              <c:f>'Objetivo 2'!$B$37:$C$37</c:f>
              <c:numCache>
                <c:formatCode>0%</c:formatCode>
                <c:ptCount val="2"/>
                <c:pt idx="0">
                  <c:v>1</c:v>
                </c:pt>
                <c:pt idx="1">
                  <c:v>0.6</c:v>
                </c:pt>
              </c:numCache>
            </c:numRef>
          </c:val>
          <c:extLst>
            <c:ext xmlns:c16="http://schemas.microsoft.com/office/drawing/2014/chart" uri="{C3380CC4-5D6E-409C-BE32-E72D297353CC}">
              <c16:uniqueId val="{00000000-E830-41F6-9ADA-18950A130EDB}"/>
            </c:ext>
          </c:extLst>
        </c:ser>
        <c:dLbls>
          <c:dLblPos val="outEnd"/>
          <c:showLegendKey val="0"/>
          <c:showVal val="1"/>
          <c:showCatName val="0"/>
          <c:showSerName val="0"/>
          <c:showPercent val="0"/>
          <c:showBubbleSize val="0"/>
        </c:dLbls>
        <c:gapWidth val="219"/>
        <c:overlap val="-27"/>
        <c:axId val="1231689472"/>
        <c:axId val="1231700496"/>
      </c:barChart>
      <c:catAx>
        <c:axId val="123168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00496"/>
        <c:crosses val="autoZero"/>
        <c:auto val="1"/>
        <c:lblAlgn val="ctr"/>
        <c:lblOffset val="100"/>
        <c:noMultiLvlLbl val="0"/>
      </c:catAx>
      <c:valAx>
        <c:axId val="1231700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689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latin typeface="Arial Nova Light" panose="020B0304020202020204" pitchFamily="34" charset="0"/>
              </a:rPr>
              <a:t>Meta Estratégica 2.3 </a:t>
            </a:r>
            <a:endParaRPr lang="es-CO" sz="1400">
              <a:effectLst/>
              <a:latin typeface="Arial Nova Light" panose="020B0304020202020204" pitchFamily="34" charset="0"/>
            </a:endParaRPr>
          </a:p>
        </c:rich>
      </c:tx>
      <c:layout>
        <c:manualLayout>
          <c:xMode val="edge"/>
          <c:yMode val="edge"/>
          <c:x val="0.34447710703423118"/>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2-CC8E-407E-8CAA-C9A2285AAF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2'!$B$59:$C$59</c:f>
              <c:strCache>
                <c:ptCount val="2"/>
                <c:pt idx="0">
                  <c:v>Meta Vigencia 2021</c:v>
                </c:pt>
                <c:pt idx="1">
                  <c:v>Cumplimiento  Acumulado vigencia 2021</c:v>
                </c:pt>
              </c:strCache>
            </c:strRef>
          </c:cat>
          <c:val>
            <c:numRef>
              <c:f>'Objetivo 2'!$B$60:$C$60</c:f>
              <c:numCache>
                <c:formatCode>0%</c:formatCode>
                <c:ptCount val="2"/>
                <c:pt idx="0">
                  <c:v>1</c:v>
                </c:pt>
                <c:pt idx="1">
                  <c:v>0.83</c:v>
                </c:pt>
              </c:numCache>
            </c:numRef>
          </c:val>
          <c:extLst>
            <c:ext xmlns:c16="http://schemas.microsoft.com/office/drawing/2014/chart" uri="{C3380CC4-5D6E-409C-BE32-E72D297353CC}">
              <c16:uniqueId val="{00000000-CC8E-407E-8CAA-C9A2285AAFE2}"/>
            </c:ext>
          </c:extLst>
        </c:ser>
        <c:dLbls>
          <c:dLblPos val="outEnd"/>
          <c:showLegendKey val="0"/>
          <c:showVal val="1"/>
          <c:showCatName val="0"/>
          <c:showSerName val="0"/>
          <c:showPercent val="0"/>
          <c:showBubbleSize val="0"/>
        </c:dLbls>
        <c:gapWidth val="219"/>
        <c:overlap val="-27"/>
        <c:axId val="1238995264"/>
        <c:axId val="1231706320"/>
      </c:barChart>
      <c:catAx>
        <c:axId val="123899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06320"/>
        <c:crosses val="autoZero"/>
        <c:auto val="1"/>
        <c:lblAlgn val="ctr"/>
        <c:lblOffset val="100"/>
        <c:noMultiLvlLbl val="0"/>
      </c:catAx>
      <c:valAx>
        <c:axId val="123170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8995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ysClr val="windowText" lastClr="000000">
                    <a:lumMod val="65000"/>
                    <a:lumOff val="35000"/>
                  </a:sysClr>
                </a:solidFill>
                <a:effectLst/>
                <a:latin typeface="Arial Nova Light" panose="020B0304020202020204" pitchFamily="34" charset="0"/>
                <a:ea typeface="+mn-ea"/>
                <a:cs typeface="+mn-cs"/>
              </a:defRPr>
            </a:pPr>
            <a:r>
              <a:rPr lang="es-CO" sz="1400" b="1" i="0" u="none" strike="noStrike" kern="1200" spc="0" baseline="0">
                <a:solidFill>
                  <a:sysClr val="windowText" lastClr="000000">
                    <a:lumMod val="65000"/>
                    <a:lumOff val="35000"/>
                  </a:sysClr>
                </a:solidFill>
                <a:effectLst/>
                <a:latin typeface="Arial Nova Light" panose="020B0304020202020204" pitchFamily="34" charset="0"/>
                <a:ea typeface="+mn-ea"/>
                <a:cs typeface="+mn-cs"/>
              </a:rPr>
              <a:t>Meta Estratégica 2.4 Campañas Educativas </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ysClr val="windowText" lastClr="000000">
                  <a:lumMod val="65000"/>
                  <a:lumOff val="35000"/>
                </a:sysClr>
              </a:solidFill>
              <a:effectLst/>
              <a:latin typeface="Arial Nova Light" panose="020B03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7-57EF-4CEA-9E73-475E0D20B238}"/>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EF-4CEA-9E73-475E0D20B238}"/>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EF-4CEA-9E73-475E0D20B2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2'!$B$81:$C$81</c:f>
              <c:strCache>
                <c:ptCount val="2"/>
                <c:pt idx="0">
                  <c:v>Meta Vigencia 2021</c:v>
                </c:pt>
                <c:pt idx="1">
                  <c:v>Cumplimiento  Acumulado vigencia 2021</c:v>
                </c:pt>
              </c:strCache>
            </c:strRef>
          </c:cat>
          <c:val>
            <c:numRef>
              <c:f>'Objetivo 2'!$B$82:$C$82</c:f>
              <c:numCache>
                <c:formatCode>0%</c:formatCode>
                <c:ptCount val="2"/>
                <c:pt idx="0">
                  <c:v>1</c:v>
                </c:pt>
                <c:pt idx="1">
                  <c:v>1</c:v>
                </c:pt>
              </c:numCache>
            </c:numRef>
          </c:val>
          <c:extLst>
            <c:ext xmlns:c16="http://schemas.microsoft.com/office/drawing/2014/chart" uri="{C3380CC4-5D6E-409C-BE32-E72D297353CC}">
              <c16:uniqueId val="{00000000-57EF-4CEA-9E73-475E0D20B238}"/>
            </c:ext>
          </c:extLst>
        </c:ser>
        <c:dLbls>
          <c:showLegendKey val="0"/>
          <c:showVal val="0"/>
          <c:showCatName val="0"/>
          <c:showSerName val="0"/>
          <c:showPercent val="0"/>
          <c:showBubbleSize val="0"/>
        </c:dLbls>
        <c:gapWidth val="219"/>
        <c:overlap val="-27"/>
        <c:axId val="1167057616"/>
        <c:axId val="1231713808"/>
      </c:barChart>
      <c:catAx>
        <c:axId val="116705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13808"/>
        <c:crosses val="autoZero"/>
        <c:auto val="1"/>
        <c:lblAlgn val="ctr"/>
        <c:lblOffset val="100"/>
        <c:noMultiLvlLbl val="0"/>
      </c:catAx>
      <c:valAx>
        <c:axId val="1231713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7057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ysClr val="windowText" lastClr="000000">
                    <a:lumMod val="65000"/>
                    <a:lumOff val="35000"/>
                  </a:sysClr>
                </a:solidFill>
                <a:effectLst/>
                <a:latin typeface="Arial Nova Light" panose="020B0304020202020204" pitchFamily="34" charset="0"/>
                <a:ea typeface="+mn-ea"/>
                <a:cs typeface="+mn-cs"/>
              </a:defRPr>
            </a:pPr>
            <a:r>
              <a:rPr lang="es-CO" sz="1200" b="1" i="0" u="none" strike="noStrike" kern="1200" spc="0" baseline="0">
                <a:solidFill>
                  <a:sysClr val="windowText" lastClr="000000">
                    <a:lumMod val="65000"/>
                    <a:lumOff val="35000"/>
                  </a:sysClr>
                </a:solidFill>
                <a:effectLst/>
                <a:latin typeface="Century Gothic" panose="020B0502020202020204" pitchFamily="34" charset="0"/>
                <a:ea typeface="+mn-ea"/>
                <a:cs typeface="+mn-cs"/>
              </a:rPr>
              <a:t>Meta Estratégica 2.5 Capacitaciones para Comunicadores </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ysClr val="windowText" lastClr="000000">
                  <a:lumMod val="65000"/>
                  <a:lumOff val="35000"/>
                </a:sysClr>
              </a:solidFill>
              <a:effectLst/>
              <a:latin typeface="Arial Nova Light" panose="020B03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FF0066"/>
              </a:solidFill>
              <a:ln>
                <a:noFill/>
              </a:ln>
              <a:effectLst/>
            </c:spPr>
            <c:extLst>
              <c:ext xmlns:c16="http://schemas.microsoft.com/office/drawing/2014/chart" uri="{C3380CC4-5D6E-409C-BE32-E72D297353CC}">
                <c16:uniqueId val="{0000000E-D013-4472-8472-BDF4723D7C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2'!$B$106:$C$106</c:f>
              <c:strCache>
                <c:ptCount val="2"/>
                <c:pt idx="0">
                  <c:v>Meta Vigencia 2021</c:v>
                </c:pt>
                <c:pt idx="1">
                  <c:v>Cumplimiento  Acumulado vigencia 2021</c:v>
                </c:pt>
              </c:strCache>
            </c:strRef>
          </c:cat>
          <c:val>
            <c:numRef>
              <c:f>'Objetivo 2'!$B$107:$C$107</c:f>
              <c:numCache>
                <c:formatCode>0%</c:formatCode>
                <c:ptCount val="2"/>
                <c:pt idx="0">
                  <c:v>1</c:v>
                </c:pt>
                <c:pt idx="1">
                  <c:v>1</c:v>
                </c:pt>
              </c:numCache>
            </c:numRef>
          </c:val>
          <c:extLst>
            <c:ext xmlns:c16="http://schemas.microsoft.com/office/drawing/2014/chart" uri="{C3380CC4-5D6E-409C-BE32-E72D297353CC}">
              <c16:uniqueId val="{00000000-D013-4472-8472-BDF4723D7C4D}"/>
            </c:ext>
          </c:extLst>
        </c:ser>
        <c:dLbls>
          <c:showLegendKey val="0"/>
          <c:showVal val="0"/>
          <c:showCatName val="0"/>
          <c:showSerName val="0"/>
          <c:showPercent val="0"/>
          <c:showBubbleSize val="0"/>
        </c:dLbls>
        <c:gapWidth val="219"/>
        <c:overlap val="-27"/>
        <c:axId val="1401206096"/>
        <c:axId val="1231710896"/>
      </c:barChart>
      <c:catAx>
        <c:axId val="140120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10896"/>
        <c:crosses val="autoZero"/>
        <c:auto val="1"/>
        <c:lblAlgn val="ctr"/>
        <c:lblOffset val="100"/>
        <c:noMultiLvlLbl val="0"/>
      </c:catAx>
      <c:valAx>
        <c:axId val="1231710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1206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s-CO" sz="1200" b="1" i="0" baseline="0">
                <a:effectLst/>
                <a:latin typeface="Century Gothic" panose="020B0502020202020204" pitchFamily="34" charset="0"/>
              </a:rPr>
              <a:t>Meta Estratégica 3.1Gestionar el desarrollo del 100% de las soluciones priorizadas. </a:t>
            </a:r>
            <a:endParaRPr lang="es-CO" sz="1200">
              <a:effectLst/>
              <a:latin typeface="Century Gothic" panose="020B0502020202020204" pitchFamily="34" charset="0"/>
            </a:endParaRPr>
          </a:p>
        </c:rich>
      </c:tx>
      <c:layout>
        <c:manualLayout>
          <c:xMode val="edge"/>
          <c:yMode val="edge"/>
          <c:x val="0.10919595167335598"/>
          <c:y val="2.294893446470977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00FF00"/>
              </a:solidFill>
              <a:ln>
                <a:noFill/>
              </a:ln>
              <a:effectLst/>
            </c:spPr>
            <c:extLst>
              <c:ext xmlns:c16="http://schemas.microsoft.com/office/drawing/2014/chart" uri="{C3380CC4-5D6E-409C-BE32-E72D297353CC}">
                <c16:uniqueId val="{00000002-875E-4665-BBBF-16456623EE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3'!$B$5:$C$5</c:f>
              <c:strCache>
                <c:ptCount val="2"/>
                <c:pt idx="0">
                  <c:v>Meta Vigencia 2021</c:v>
                </c:pt>
                <c:pt idx="1">
                  <c:v>Cumplimiento  Acumulado vigencia 2021</c:v>
                </c:pt>
              </c:strCache>
            </c:strRef>
          </c:cat>
          <c:val>
            <c:numRef>
              <c:f>'Objetivo 3'!$B$6:$C$6</c:f>
              <c:numCache>
                <c:formatCode>0%</c:formatCode>
                <c:ptCount val="2"/>
                <c:pt idx="0">
                  <c:v>1</c:v>
                </c:pt>
                <c:pt idx="1">
                  <c:v>0.75</c:v>
                </c:pt>
              </c:numCache>
            </c:numRef>
          </c:val>
          <c:extLst>
            <c:ext xmlns:c16="http://schemas.microsoft.com/office/drawing/2014/chart" uri="{C3380CC4-5D6E-409C-BE32-E72D297353CC}">
              <c16:uniqueId val="{00000000-875E-4665-BBBF-16456623EE76}"/>
            </c:ext>
          </c:extLst>
        </c:ser>
        <c:dLbls>
          <c:dLblPos val="outEnd"/>
          <c:showLegendKey val="0"/>
          <c:showVal val="1"/>
          <c:showCatName val="0"/>
          <c:showSerName val="0"/>
          <c:showPercent val="0"/>
          <c:showBubbleSize val="0"/>
        </c:dLbls>
        <c:gapWidth val="219"/>
        <c:overlap val="-27"/>
        <c:axId val="1456968880"/>
        <c:axId val="1167001952"/>
      </c:barChart>
      <c:catAx>
        <c:axId val="145696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7001952"/>
        <c:crosses val="autoZero"/>
        <c:auto val="1"/>
        <c:lblAlgn val="ctr"/>
        <c:lblOffset val="100"/>
        <c:noMultiLvlLbl val="0"/>
      </c:catAx>
      <c:valAx>
        <c:axId val="116700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6968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Nova Light" panose="020B0304020202020204" pitchFamily="34" charset="0"/>
                <a:ea typeface="+mn-ea"/>
                <a:cs typeface="+mn-cs"/>
              </a:defRPr>
            </a:pPr>
            <a:r>
              <a:rPr lang="es-CO" sz="1200" b="1" i="0" baseline="0">
                <a:effectLst/>
                <a:latin typeface="Century Gothic" panose="020B0502020202020204" pitchFamily="34" charset="0"/>
              </a:rPr>
              <a:t>Meta Estratégica 3.2 Fortalecer el 100 % de los componentes SIRE </a:t>
            </a:r>
            <a:endParaRPr lang="es-CO" sz="1200" b="1">
              <a:effectLst/>
              <a:latin typeface="Century Gothic" panose="020B0502020202020204" pitchFamily="34" charset="0"/>
            </a:endParaRPr>
          </a:p>
        </c:rich>
      </c:tx>
      <c:layout>
        <c:manualLayout>
          <c:xMode val="edge"/>
          <c:yMode val="edge"/>
          <c:x val="0.10946912508607906"/>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Nova Light" panose="020B0304020202020204" pitchFamily="34" charset="0"/>
              <a:ea typeface="+mn-ea"/>
              <a:cs typeface="+mn-cs"/>
            </a:defRPr>
          </a:pPr>
          <a:endParaRPr lang="es-CO"/>
        </a:p>
      </c:txPr>
    </c:title>
    <c:autoTitleDeleted val="0"/>
    <c:plotArea>
      <c:layout>
        <c:manualLayout>
          <c:layoutTarget val="inner"/>
          <c:xMode val="edge"/>
          <c:yMode val="edge"/>
          <c:x val="8.3233814523184596E-2"/>
          <c:y val="0.19486111111111112"/>
          <c:w val="0.87232174103237092"/>
          <c:h val="0.72088764946048411"/>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rgbClr val="00FF00"/>
              </a:solidFill>
              <a:ln>
                <a:noFill/>
              </a:ln>
              <a:effectLst/>
            </c:spPr>
            <c:extLst>
              <c:ext xmlns:c16="http://schemas.microsoft.com/office/drawing/2014/chart" uri="{C3380CC4-5D6E-409C-BE32-E72D297353CC}">
                <c16:uniqueId val="{00000007-35F1-42B3-B4F0-C50E931277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'Objetivo 3'!$B$29:$C$29</c:f>
              <c:strCache>
                <c:ptCount val="2"/>
                <c:pt idx="0">
                  <c:v>Meta Vigencia 2021</c:v>
                </c:pt>
                <c:pt idx="1">
                  <c:v>Cumplimiento  Acumulado vigencia 2021</c:v>
                </c:pt>
              </c:strCache>
            </c:strRef>
          </c:cat>
          <c:val>
            <c:numRef>
              <c:f>'Objetivo 3'!$B$30:$C$30</c:f>
              <c:numCache>
                <c:formatCode>0%</c:formatCode>
                <c:ptCount val="2"/>
                <c:pt idx="0">
                  <c:v>1</c:v>
                </c:pt>
                <c:pt idx="1">
                  <c:v>0.76</c:v>
                </c:pt>
              </c:numCache>
            </c:numRef>
          </c:val>
          <c:extLst>
            <c:ext xmlns:c16="http://schemas.microsoft.com/office/drawing/2014/chart" uri="{C3380CC4-5D6E-409C-BE32-E72D297353CC}">
              <c16:uniqueId val="{00000000-35F1-42B3-B4F0-C50E93127771}"/>
            </c:ext>
          </c:extLst>
        </c:ser>
        <c:dLbls>
          <c:dLblPos val="outEnd"/>
          <c:showLegendKey val="0"/>
          <c:showVal val="1"/>
          <c:showCatName val="0"/>
          <c:showSerName val="0"/>
          <c:showPercent val="0"/>
          <c:showBubbleSize val="0"/>
        </c:dLbls>
        <c:gapWidth val="219"/>
        <c:overlap val="-27"/>
        <c:axId val="1455037504"/>
        <c:axId val="1231703408"/>
      </c:barChart>
      <c:catAx>
        <c:axId val="145503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1703408"/>
        <c:crosses val="autoZero"/>
        <c:auto val="1"/>
        <c:lblAlgn val="ctr"/>
        <c:lblOffset val="100"/>
        <c:noMultiLvlLbl val="0"/>
      </c:catAx>
      <c:valAx>
        <c:axId val="123170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503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10.xml><?xml version="1.0" encoding="utf-8"?>
<c:userShapes xmlns:c="http://schemas.openxmlformats.org/drawingml/2006/chart">
  <cdr:relSizeAnchor xmlns:cdr="http://schemas.openxmlformats.org/drawingml/2006/chartDrawing">
    <cdr:from>
      <cdr:x>0.08587</cdr:x>
      <cdr:y>0.0375</cdr:y>
    </cdr:from>
    <cdr:to>
      <cdr:x>0.98569</cdr:x>
      <cdr:y>0.14063</cdr:y>
    </cdr:to>
    <cdr:sp macro="" textlink="">
      <cdr:nvSpPr>
        <cdr:cNvPr id="6" name="CuadroTexto 5">
          <a:extLst xmlns:a="http://schemas.openxmlformats.org/drawingml/2006/main">
            <a:ext uri="{FF2B5EF4-FFF2-40B4-BE49-F238E27FC236}">
              <a16:creationId xmlns:a16="http://schemas.microsoft.com/office/drawing/2014/main" id="{FEC2B0E5-EA8A-488C-9C80-D09D69FEFF73}"/>
            </a:ext>
          </a:extLst>
        </cdr:cNvPr>
        <cdr:cNvSpPr txBox="1"/>
      </cdr:nvSpPr>
      <cdr:spPr>
        <a:xfrm xmlns:a="http://schemas.openxmlformats.org/drawingml/2006/main">
          <a:off x="457200" y="114300"/>
          <a:ext cx="47910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solidFill>
                <a:schemeClr val="bg2">
                  <a:lumMod val="50000"/>
                </a:schemeClr>
              </a:solidFill>
              <a:latin typeface="Century Gothic" panose="020B0502020202020204" pitchFamily="34" charset="0"/>
            </a:rPr>
            <a:t>Meta Estratégica 4.2</a:t>
          </a:r>
          <a:r>
            <a:rPr lang="es-CO" sz="1400" b="1" baseline="0">
              <a:solidFill>
                <a:schemeClr val="bg2">
                  <a:lumMod val="50000"/>
                </a:schemeClr>
              </a:solidFill>
              <a:latin typeface="Century Gothic" panose="020B0502020202020204" pitchFamily="34" charset="0"/>
            </a:rPr>
            <a:t> Nueve (9) Obras de Mitigación</a:t>
          </a:r>
          <a:endParaRPr lang="es-CO" sz="1400" b="1">
            <a:solidFill>
              <a:schemeClr val="bg2">
                <a:lumMod val="50000"/>
              </a:schemeClr>
            </a:solidFill>
            <a:latin typeface="Century Gothic" panose="020B0502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8</xdr:row>
      <xdr:rowOff>128587</xdr:rowOff>
    </xdr:from>
    <xdr:to>
      <xdr:col>3</xdr:col>
      <xdr:colOff>38100</xdr:colOff>
      <xdr:row>23</xdr:row>
      <xdr:rowOff>14287</xdr:rowOff>
    </xdr:to>
    <xdr:graphicFrame macro="">
      <xdr:nvGraphicFramePr>
        <xdr:cNvPr id="2" name="Gráfico 1">
          <a:extLst>
            <a:ext uri="{FF2B5EF4-FFF2-40B4-BE49-F238E27FC236}">
              <a16:creationId xmlns:a16="http://schemas.microsoft.com/office/drawing/2014/main" id="{AD89F5BE-ABDE-47DC-A88C-A18EB4B6F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157162</xdr:rowOff>
    </xdr:from>
    <xdr:to>
      <xdr:col>2</xdr:col>
      <xdr:colOff>1781175</xdr:colOff>
      <xdr:row>47</xdr:row>
      <xdr:rowOff>42862</xdr:rowOff>
    </xdr:to>
    <xdr:graphicFrame macro="">
      <xdr:nvGraphicFramePr>
        <xdr:cNvPr id="3" name="Gráfico 2">
          <a:extLst>
            <a:ext uri="{FF2B5EF4-FFF2-40B4-BE49-F238E27FC236}">
              <a16:creationId xmlns:a16="http://schemas.microsoft.com/office/drawing/2014/main" id="{3FC1A103-DFF6-49C3-87D5-7741E4EBEE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119062</xdr:rowOff>
    </xdr:from>
    <xdr:to>
      <xdr:col>3</xdr:col>
      <xdr:colOff>1085850</xdr:colOff>
      <xdr:row>16</xdr:row>
      <xdr:rowOff>23812</xdr:rowOff>
    </xdr:to>
    <xdr:graphicFrame macro="">
      <xdr:nvGraphicFramePr>
        <xdr:cNvPr id="2" name="Gráfico 1">
          <a:extLst>
            <a:ext uri="{FF2B5EF4-FFF2-40B4-BE49-F238E27FC236}">
              <a16:creationId xmlns:a16="http://schemas.microsoft.com/office/drawing/2014/main" id="{987DE7AD-1566-4274-8D76-C5BDCCC31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119062</xdr:rowOff>
    </xdr:from>
    <xdr:to>
      <xdr:col>3</xdr:col>
      <xdr:colOff>1085850</xdr:colOff>
      <xdr:row>16</xdr:row>
      <xdr:rowOff>23812</xdr:rowOff>
    </xdr:to>
    <xdr:graphicFrame macro="">
      <xdr:nvGraphicFramePr>
        <xdr:cNvPr id="2" name="Gráfico 1">
          <a:extLst>
            <a:ext uri="{FF2B5EF4-FFF2-40B4-BE49-F238E27FC236}">
              <a16:creationId xmlns:a16="http://schemas.microsoft.com/office/drawing/2014/main" id="{CB9D93F9-257A-4423-A1D1-13D4D7289A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8</xdr:col>
      <xdr:colOff>190499</xdr:colOff>
      <xdr:row>0</xdr:row>
      <xdr:rowOff>304798</xdr:rowOff>
    </xdr:from>
    <xdr:to>
      <xdr:col>19</xdr:col>
      <xdr:colOff>74221</xdr:colOff>
      <xdr:row>7</xdr:row>
      <xdr:rowOff>160812</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85725</xdr:colOff>
      <xdr:row>1</xdr:row>
      <xdr:rowOff>342900</xdr:rowOff>
    </xdr:from>
    <xdr:to>
      <xdr:col>16</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114300</xdr:rowOff>
    </xdr:from>
    <xdr:to>
      <xdr:col>4</xdr:col>
      <xdr:colOff>38100</xdr:colOff>
      <xdr:row>16</xdr:row>
      <xdr:rowOff>19049</xdr:rowOff>
    </xdr:to>
    <xdr:graphicFrame macro="">
      <xdr:nvGraphicFramePr>
        <xdr:cNvPr id="2" name="Gráfico 1">
          <a:extLst>
            <a:ext uri="{FF2B5EF4-FFF2-40B4-BE49-F238E27FC236}">
              <a16:creationId xmlns:a16="http://schemas.microsoft.com/office/drawing/2014/main" id="{C7EB00D9-4073-433A-9569-9C7177689E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13</xdr:row>
      <xdr:rowOff>61912</xdr:rowOff>
    </xdr:from>
    <xdr:to>
      <xdr:col>2</xdr:col>
      <xdr:colOff>676275</xdr:colOff>
      <xdr:row>27</xdr:row>
      <xdr:rowOff>138112</xdr:rowOff>
    </xdr:to>
    <xdr:graphicFrame macro="">
      <xdr:nvGraphicFramePr>
        <xdr:cNvPr id="4" name="Gráfico 3">
          <a:extLst>
            <a:ext uri="{FF2B5EF4-FFF2-40B4-BE49-F238E27FC236}">
              <a16:creationId xmlns:a16="http://schemas.microsoft.com/office/drawing/2014/main" id="{1F827D44-D70C-4F02-85E4-B951D7F6A3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14286</xdr:colOff>
      <xdr:row>38</xdr:row>
      <xdr:rowOff>119061</xdr:rowOff>
    </xdr:from>
    <xdr:to>
      <xdr:col>2</xdr:col>
      <xdr:colOff>1543049</xdr:colOff>
      <xdr:row>53</xdr:row>
      <xdr:rowOff>161924</xdr:rowOff>
    </xdr:to>
    <xdr:graphicFrame macro="">
      <xdr:nvGraphicFramePr>
        <xdr:cNvPr id="5" name="Gráfico 4">
          <a:extLst>
            <a:ext uri="{FF2B5EF4-FFF2-40B4-BE49-F238E27FC236}">
              <a16:creationId xmlns:a16="http://schemas.microsoft.com/office/drawing/2014/main" id="{69126146-BC02-4B31-9029-4D912CB10D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90487</xdr:rowOff>
    </xdr:from>
    <xdr:to>
      <xdr:col>2</xdr:col>
      <xdr:colOff>1552574</xdr:colOff>
      <xdr:row>75</xdr:row>
      <xdr:rowOff>166687</xdr:rowOff>
    </xdr:to>
    <xdr:graphicFrame macro="">
      <xdr:nvGraphicFramePr>
        <xdr:cNvPr id="6" name="Gráfico 5">
          <a:extLst>
            <a:ext uri="{FF2B5EF4-FFF2-40B4-BE49-F238E27FC236}">
              <a16:creationId xmlns:a16="http://schemas.microsoft.com/office/drawing/2014/main" id="{8EBDB9F3-DB9C-4746-8034-5A2727E706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83</xdr:row>
      <xdr:rowOff>119062</xdr:rowOff>
    </xdr:from>
    <xdr:to>
      <xdr:col>3</xdr:col>
      <xdr:colOff>57150</xdr:colOff>
      <xdr:row>98</xdr:row>
      <xdr:rowOff>4762</xdr:rowOff>
    </xdr:to>
    <xdr:graphicFrame macro="">
      <xdr:nvGraphicFramePr>
        <xdr:cNvPr id="7" name="Gráfico 6">
          <a:extLst>
            <a:ext uri="{FF2B5EF4-FFF2-40B4-BE49-F238E27FC236}">
              <a16:creationId xmlns:a16="http://schemas.microsoft.com/office/drawing/2014/main" id="{3522FD81-5BD2-4FEA-9321-AEE44E06AB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107</xdr:row>
      <xdr:rowOff>138112</xdr:rowOff>
    </xdr:from>
    <xdr:to>
      <xdr:col>3</xdr:col>
      <xdr:colOff>9525</xdr:colOff>
      <xdr:row>122</xdr:row>
      <xdr:rowOff>23812</xdr:rowOff>
    </xdr:to>
    <xdr:graphicFrame macro="">
      <xdr:nvGraphicFramePr>
        <xdr:cNvPr id="8" name="Gráfico 7">
          <a:extLst>
            <a:ext uri="{FF2B5EF4-FFF2-40B4-BE49-F238E27FC236}">
              <a16:creationId xmlns:a16="http://schemas.microsoft.com/office/drawing/2014/main" id="{D4F42D5F-B980-4B4F-A32A-B610F561E9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4761</xdr:rowOff>
    </xdr:from>
    <xdr:to>
      <xdr:col>3</xdr:col>
      <xdr:colOff>28575</xdr:colOff>
      <xdr:row>21</xdr:row>
      <xdr:rowOff>104774</xdr:rowOff>
    </xdr:to>
    <xdr:graphicFrame macro="">
      <xdr:nvGraphicFramePr>
        <xdr:cNvPr id="2" name="Gráfico 1">
          <a:extLst>
            <a:ext uri="{FF2B5EF4-FFF2-40B4-BE49-F238E27FC236}">
              <a16:creationId xmlns:a16="http://schemas.microsoft.com/office/drawing/2014/main" id="{66C772CF-6243-4028-BE64-17C770310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30</xdr:row>
      <xdr:rowOff>71437</xdr:rowOff>
    </xdr:from>
    <xdr:to>
      <xdr:col>3</xdr:col>
      <xdr:colOff>57149</xdr:colOff>
      <xdr:row>44</xdr:row>
      <xdr:rowOff>147637</xdr:rowOff>
    </xdr:to>
    <xdr:graphicFrame macro="">
      <xdr:nvGraphicFramePr>
        <xdr:cNvPr id="4" name="Gráfico 3">
          <a:extLst>
            <a:ext uri="{FF2B5EF4-FFF2-40B4-BE49-F238E27FC236}">
              <a16:creationId xmlns:a16="http://schemas.microsoft.com/office/drawing/2014/main" id="{2C9DA1EA-88EB-4FAC-A201-66D3D3F9E3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9</xdr:row>
      <xdr:rowOff>138112</xdr:rowOff>
    </xdr:from>
    <xdr:to>
      <xdr:col>2</xdr:col>
      <xdr:colOff>1295400</xdr:colOff>
      <xdr:row>24</xdr:row>
      <xdr:rowOff>23812</xdr:rowOff>
    </xdr:to>
    <xdr:graphicFrame macro="">
      <xdr:nvGraphicFramePr>
        <xdr:cNvPr id="8" name="Gráfico 7">
          <a:extLst>
            <a:ext uri="{FF2B5EF4-FFF2-40B4-BE49-F238E27FC236}">
              <a16:creationId xmlns:a16="http://schemas.microsoft.com/office/drawing/2014/main" id="{644396B9-75CF-403F-9D44-924BDD71B4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29</xdr:row>
      <xdr:rowOff>0</xdr:rowOff>
    </xdr:from>
    <xdr:to>
      <xdr:col>3</xdr:col>
      <xdr:colOff>95249</xdr:colOff>
      <xdr:row>44</xdr:row>
      <xdr:rowOff>190499</xdr:rowOff>
    </xdr:to>
    <xdr:graphicFrame macro="">
      <xdr:nvGraphicFramePr>
        <xdr:cNvPr id="9" name="Gráfico 8">
          <a:extLst>
            <a:ext uri="{FF2B5EF4-FFF2-40B4-BE49-F238E27FC236}">
              <a16:creationId xmlns:a16="http://schemas.microsoft.com/office/drawing/2014/main" id="{1908AC6D-DAB7-45D7-BB36-2784717B6D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3</xdr:col>
      <xdr:colOff>0</xdr:colOff>
      <xdr:row>69</xdr:row>
      <xdr:rowOff>76200</xdr:rowOff>
    </xdr:to>
    <xdr:graphicFrame macro="">
      <xdr:nvGraphicFramePr>
        <xdr:cNvPr id="10" name="Gráfico 9">
          <a:extLst>
            <a:ext uri="{FF2B5EF4-FFF2-40B4-BE49-F238E27FC236}">
              <a16:creationId xmlns:a16="http://schemas.microsoft.com/office/drawing/2014/main" id="{6CADC6D3-46BE-4541-B089-0D31ECF6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400"/>
      <c r="B1" s="400"/>
      <c r="C1" s="403" t="s">
        <v>130</v>
      </c>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Y1" s="112" t="s">
        <v>141</v>
      </c>
    </row>
    <row r="2" spans="1:51" ht="27" customHeight="1" x14ac:dyDescent="0.2">
      <c r="A2" s="401"/>
      <c r="B2" s="401"/>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Y2" s="112" t="s">
        <v>143</v>
      </c>
    </row>
    <row r="3" spans="1:51" ht="34.5" customHeight="1" thickBot="1" x14ac:dyDescent="0.25">
      <c r="A3" s="402"/>
      <c r="B3" s="402"/>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406" t="s">
        <v>51</v>
      </c>
      <c r="B5" s="377" t="s">
        <v>17</v>
      </c>
      <c r="C5" s="377" t="s">
        <v>18</v>
      </c>
      <c r="D5" s="408"/>
      <c r="E5" s="379" t="s">
        <v>147</v>
      </c>
      <c r="F5" s="380"/>
      <c r="G5" s="380"/>
      <c r="H5" s="380"/>
      <c r="I5" s="380"/>
      <c r="J5" s="380"/>
      <c r="K5" s="380"/>
      <c r="L5" s="380"/>
      <c r="M5" s="380"/>
      <c r="N5" s="381"/>
      <c r="O5" s="118"/>
      <c r="P5" s="118"/>
      <c r="Q5" s="118"/>
      <c r="R5" s="118"/>
      <c r="S5" s="118"/>
      <c r="T5" s="118"/>
      <c r="U5" s="118"/>
      <c r="V5" s="118"/>
      <c r="W5" s="118"/>
      <c r="X5" s="118"/>
      <c r="Y5" s="118"/>
      <c r="Z5" s="118"/>
      <c r="AA5" s="118"/>
      <c r="AB5" s="118"/>
      <c r="AC5" s="118"/>
      <c r="AD5" s="118"/>
      <c r="AE5" s="118"/>
      <c r="AF5" s="118"/>
      <c r="AG5" s="118"/>
      <c r="AH5" s="118"/>
      <c r="AI5" s="118"/>
      <c r="AJ5" s="118"/>
      <c r="AK5" s="382"/>
      <c r="AL5" s="383"/>
      <c r="AM5" s="383"/>
      <c r="AN5" s="383"/>
      <c r="AO5" s="383"/>
      <c r="AP5" s="384"/>
      <c r="AQ5" s="385">
        <v>2021</v>
      </c>
      <c r="AR5" s="385"/>
      <c r="AS5" s="387" t="s">
        <v>9</v>
      </c>
      <c r="AT5" s="388"/>
      <c r="AU5" s="388"/>
      <c r="AV5" s="389"/>
      <c r="AW5" s="385" t="s">
        <v>8</v>
      </c>
      <c r="AX5" s="393" t="s">
        <v>134</v>
      </c>
      <c r="AY5" s="377" t="s">
        <v>186</v>
      </c>
    </row>
    <row r="6" spans="1:51" ht="18" customHeight="1" x14ac:dyDescent="0.2">
      <c r="A6" s="407"/>
      <c r="B6" s="378"/>
      <c r="C6" s="378"/>
      <c r="D6" s="409"/>
      <c r="E6" s="395" t="s">
        <v>110</v>
      </c>
      <c r="F6" s="396"/>
      <c r="G6" s="395" t="s">
        <v>111</v>
      </c>
      <c r="H6" s="396"/>
      <c r="I6" s="395" t="s">
        <v>112</v>
      </c>
      <c r="J6" s="396"/>
      <c r="K6" s="412" t="s">
        <v>13</v>
      </c>
      <c r="L6" s="413"/>
      <c r="M6" s="395" t="s">
        <v>113</v>
      </c>
      <c r="N6" s="396"/>
      <c r="O6" s="395" t="s">
        <v>114</v>
      </c>
      <c r="P6" s="396"/>
      <c r="Q6" s="395" t="s">
        <v>115</v>
      </c>
      <c r="R6" s="396"/>
      <c r="S6" s="410" t="s">
        <v>12</v>
      </c>
      <c r="T6" s="411"/>
      <c r="U6" s="395" t="s">
        <v>116</v>
      </c>
      <c r="V6" s="396"/>
      <c r="W6" s="395" t="s">
        <v>117</v>
      </c>
      <c r="X6" s="396"/>
      <c r="Y6" s="395" t="s">
        <v>118</v>
      </c>
      <c r="Z6" s="396"/>
      <c r="AA6" s="397" t="s">
        <v>11</v>
      </c>
      <c r="AB6" s="397"/>
      <c r="AC6" s="398" t="s">
        <v>119</v>
      </c>
      <c r="AD6" s="398"/>
      <c r="AE6" s="398" t="s">
        <v>120</v>
      </c>
      <c r="AF6" s="398"/>
      <c r="AG6" s="398" t="s">
        <v>121</v>
      </c>
      <c r="AH6" s="398"/>
      <c r="AI6" s="397" t="s">
        <v>10</v>
      </c>
      <c r="AJ6" s="397"/>
      <c r="AK6" s="399">
        <v>2022</v>
      </c>
      <c r="AL6" s="399"/>
      <c r="AM6" s="399">
        <v>2023</v>
      </c>
      <c r="AN6" s="399"/>
      <c r="AO6" s="399">
        <v>2024</v>
      </c>
      <c r="AP6" s="399"/>
      <c r="AQ6" s="386"/>
      <c r="AR6" s="386"/>
      <c r="AS6" s="390"/>
      <c r="AT6" s="391"/>
      <c r="AU6" s="391"/>
      <c r="AV6" s="392"/>
      <c r="AW6" s="386"/>
      <c r="AX6" s="394"/>
      <c r="AY6" s="378"/>
    </row>
    <row r="7" spans="1:51" s="3" customFormat="1" ht="26.25" customHeight="1" x14ac:dyDescent="0.25">
      <c r="A7" s="407"/>
      <c r="B7" s="378"/>
      <c r="C7" s="378"/>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386"/>
      <c r="AX7" s="394"/>
      <c r="AY7" s="378"/>
    </row>
    <row r="8" spans="1:51" ht="99.75" customHeight="1" x14ac:dyDescent="0.2">
      <c r="A8" s="364" t="s">
        <v>45</v>
      </c>
      <c r="B8" s="366"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368">
        <f>AVERAGE(AW8:AW9)</f>
        <v>0.255</v>
      </c>
    </row>
    <row r="9" spans="1:51" ht="99" customHeight="1" x14ac:dyDescent="0.2">
      <c r="A9" s="365"/>
      <c r="B9" s="367"/>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369"/>
    </row>
    <row r="10" spans="1:51" ht="201.75" customHeight="1" x14ac:dyDescent="0.2">
      <c r="A10" s="370" t="s">
        <v>46</v>
      </c>
      <c r="B10" s="371" t="s">
        <v>21</v>
      </c>
      <c r="C10" s="371"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374">
        <f>AVERAGE(AW10:AW15)</f>
        <v>0.54166666666666663</v>
      </c>
    </row>
    <row r="11" spans="1:51" ht="156.75" customHeight="1" x14ac:dyDescent="0.2">
      <c r="A11" s="370"/>
      <c r="B11" s="372"/>
      <c r="C11" s="373"/>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375"/>
    </row>
    <row r="12" spans="1:51" ht="198" x14ac:dyDescent="0.2">
      <c r="A12" s="370"/>
      <c r="B12" s="372"/>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375"/>
    </row>
    <row r="13" spans="1:51" ht="66.75" customHeight="1" x14ac:dyDescent="0.2">
      <c r="A13" s="370"/>
      <c r="B13" s="372"/>
      <c r="C13" s="371"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375"/>
    </row>
    <row r="14" spans="1:51" ht="106.5" customHeight="1" x14ac:dyDescent="0.2">
      <c r="A14" s="370"/>
      <c r="B14" s="372"/>
      <c r="C14" s="372"/>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375"/>
    </row>
    <row r="15" spans="1:51" ht="66" customHeight="1" x14ac:dyDescent="0.2">
      <c r="A15" s="370"/>
      <c r="B15" s="373"/>
      <c r="C15" s="373"/>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376"/>
    </row>
    <row r="16" spans="1:51" ht="56.25" customHeight="1" x14ac:dyDescent="0.2">
      <c r="A16" s="356" t="s">
        <v>47</v>
      </c>
      <c r="B16" s="357"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359">
        <f>AW16+AW17/2</f>
        <v>0.5</v>
      </c>
    </row>
    <row r="17" spans="1:51" ht="63" x14ac:dyDescent="0.2">
      <c r="A17" s="356"/>
      <c r="B17" s="358"/>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360"/>
    </row>
    <row r="18" spans="1:51" ht="53.25" customHeight="1" x14ac:dyDescent="0.2">
      <c r="A18" s="361" t="s">
        <v>48</v>
      </c>
      <c r="B18" s="362"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359">
        <f>AW18+AW19/2</f>
        <v>0.5222</v>
      </c>
    </row>
    <row r="19" spans="1:51" ht="76.5" customHeight="1" x14ac:dyDescent="0.2">
      <c r="A19" s="361"/>
      <c r="B19" s="363"/>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360"/>
    </row>
    <row r="20" spans="1:51" ht="42.75" customHeight="1" x14ac:dyDescent="0.2">
      <c r="A20" s="344" t="s">
        <v>93</v>
      </c>
      <c r="B20" s="345"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348">
        <f xml:space="preserve"> AVERAGE(AW20:AW22)</f>
        <v>0.47286821705426352</v>
      </c>
    </row>
    <row r="21" spans="1:51" ht="90" x14ac:dyDescent="0.2">
      <c r="A21" s="344"/>
      <c r="B21" s="346"/>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349"/>
    </row>
    <row r="22" spans="1:51" ht="45" x14ac:dyDescent="0.2">
      <c r="A22" s="344"/>
      <c r="B22" s="347"/>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349"/>
    </row>
    <row r="23" spans="1:51" ht="70.5" customHeight="1" x14ac:dyDescent="0.2">
      <c r="A23" s="350" t="s">
        <v>176</v>
      </c>
      <c r="B23" s="352"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354">
        <f xml:space="preserve"> AVERAGE(AW23:AW25)/100</f>
        <v>0.33708333333333335</v>
      </c>
    </row>
    <row r="24" spans="1:51" ht="207" x14ac:dyDescent="0.2">
      <c r="A24" s="351"/>
      <c r="B24" s="353"/>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355"/>
    </row>
    <row r="25" spans="1:51" ht="72" x14ac:dyDescent="0.2">
      <c r="A25" s="351"/>
      <c r="B25" s="353"/>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355"/>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8:A9"/>
    <mergeCell ref="B8:B9"/>
    <mergeCell ref="AY8:AY9"/>
    <mergeCell ref="A10:A15"/>
    <mergeCell ref="B10:B15"/>
    <mergeCell ref="C10:C11"/>
    <mergeCell ref="AY10:AY15"/>
    <mergeCell ref="C13:C15"/>
    <mergeCell ref="A16:A17"/>
    <mergeCell ref="B16:B17"/>
    <mergeCell ref="AY16:AY17"/>
    <mergeCell ref="A18:A19"/>
    <mergeCell ref="B18:B19"/>
    <mergeCell ref="AY18:AY19"/>
    <mergeCell ref="A20:A22"/>
    <mergeCell ref="B20:B22"/>
    <mergeCell ref="AY20:AY22"/>
    <mergeCell ref="A23:A25"/>
    <mergeCell ref="B23:B25"/>
    <mergeCell ref="AY23:AY25"/>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99B3-795F-4C09-ADBA-B407507E8DBC}">
  <dimension ref="A1:L20"/>
  <sheetViews>
    <sheetView topLeftCell="B1" zoomScale="71" zoomScaleNormal="71" workbookViewId="0">
      <selection activeCell="B3" sqref="B3:K3"/>
    </sheetView>
  </sheetViews>
  <sheetFormatPr baseColWidth="10" defaultRowHeight="15" x14ac:dyDescent="0.25"/>
  <cols>
    <col min="1" max="1" width="15.85546875" hidden="1" customWidth="1"/>
    <col min="11" max="11" width="33" customWidth="1"/>
  </cols>
  <sheetData>
    <row r="1" spans="1:11" ht="38.25" customHeight="1" x14ac:dyDescent="0.25">
      <c r="A1" s="547"/>
      <c r="B1" s="572" t="s">
        <v>301</v>
      </c>
      <c r="C1" s="572"/>
      <c r="D1" s="572"/>
      <c r="E1" s="572"/>
      <c r="F1" s="572"/>
      <c r="G1" s="572"/>
      <c r="H1" s="572"/>
      <c r="I1" s="572"/>
      <c r="J1" s="572"/>
      <c r="K1" s="572"/>
    </row>
    <row r="2" spans="1:11" ht="128.25" customHeight="1" x14ac:dyDescent="0.25">
      <c r="A2" s="553"/>
      <c r="B2" s="573" t="s">
        <v>302</v>
      </c>
      <c r="C2" s="574"/>
      <c r="D2" s="574"/>
      <c r="E2" s="574"/>
      <c r="F2" s="574"/>
      <c r="G2" s="574"/>
      <c r="H2" s="574"/>
      <c r="I2" s="574"/>
      <c r="J2" s="574"/>
      <c r="K2" s="574"/>
    </row>
    <row r="3" spans="1:11" ht="37.5" customHeight="1" x14ac:dyDescent="0.25">
      <c r="A3" s="555"/>
      <c r="B3" s="575" t="s">
        <v>303</v>
      </c>
      <c r="C3" s="572"/>
      <c r="D3" s="572"/>
      <c r="E3" s="572"/>
      <c r="F3" s="572"/>
      <c r="G3" s="572"/>
      <c r="H3" s="572"/>
      <c r="I3" s="572"/>
      <c r="J3" s="572"/>
      <c r="K3" s="572"/>
    </row>
    <row r="4" spans="1:11" ht="225" customHeight="1" x14ac:dyDescent="0.25">
      <c r="B4" s="573" t="s">
        <v>304</v>
      </c>
      <c r="C4" s="574"/>
      <c r="D4" s="574"/>
      <c r="E4" s="574"/>
      <c r="F4" s="574"/>
      <c r="G4" s="574"/>
      <c r="H4" s="574"/>
      <c r="I4" s="574"/>
      <c r="J4" s="574"/>
      <c r="K4" s="574"/>
    </row>
    <row r="5" spans="1:11" ht="38.25" customHeight="1" x14ac:dyDescent="0.25"/>
    <row r="6" spans="1:11" ht="38.25" customHeight="1" x14ac:dyDescent="0.25"/>
    <row r="7" spans="1:11" ht="41.25" customHeight="1" x14ac:dyDescent="0.25"/>
    <row r="8" spans="1:11" ht="41.25" customHeight="1" x14ac:dyDescent="0.25"/>
    <row r="9" spans="1:11" ht="41.25" customHeight="1" x14ac:dyDescent="0.25"/>
    <row r="10" spans="1:11" ht="30.75" customHeight="1" x14ac:dyDescent="0.25"/>
    <row r="11" spans="1:11" ht="43.5" customHeight="1" x14ac:dyDescent="0.25"/>
    <row r="12" spans="1:11" ht="46.5" customHeight="1" x14ac:dyDescent="0.25"/>
    <row r="13" spans="1:11" ht="46.5" customHeight="1" x14ac:dyDescent="0.25"/>
    <row r="14" spans="1:11" ht="45" customHeight="1" x14ac:dyDescent="0.25"/>
    <row r="15" spans="1:11" ht="45" customHeight="1" x14ac:dyDescent="0.25"/>
    <row r="16" spans="1:11" ht="45" customHeight="1" x14ac:dyDescent="0.25"/>
    <row r="17" ht="44.25" customHeight="1" x14ac:dyDescent="0.25"/>
    <row r="18" ht="44.25" customHeight="1" x14ac:dyDescent="0.25"/>
    <row r="19" ht="75.75" customHeight="1" x14ac:dyDescent="0.25"/>
    <row r="20" ht="75.75" customHeight="1" x14ac:dyDescent="0.25"/>
  </sheetData>
  <mergeCells count="5">
    <mergeCell ref="B3:K3"/>
    <mergeCell ref="B4:K4"/>
    <mergeCell ref="A1:A2"/>
    <mergeCell ref="B1:K1"/>
    <mergeCell ref="B2:K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43AC-0741-4BB2-8626-78168DD151BE}">
  <dimension ref="A1:D21"/>
  <sheetViews>
    <sheetView workbookViewId="0">
      <selection activeCell="G6" sqref="G6"/>
    </sheetView>
  </sheetViews>
  <sheetFormatPr baseColWidth="10" defaultRowHeight="15" x14ac:dyDescent="0.25"/>
  <cols>
    <col min="1" max="1" width="20" customWidth="1"/>
    <col min="2" max="2" width="20.28515625" customWidth="1"/>
    <col min="3" max="4" width="16.42578125" customWidth="1"/>
  </cols>
  <sheetData>
    <row r="1" spans="1:4" ht="47.25" customHeight="1" x14ac:dyDescent="0.25">
      <c r="A1" s="310" t="s">
        <v>17</v>
      </c>
      <c r="B1" s="309" t="s">
        <v>68</v>
      </c>
      <c r="C1" s="310" t="s">
        <v>263</v>
      </c>
      <c r="D1" s="310" t="s">
        <v>262</v>
      </c>
    </row>
    <row r="2" spans="1:4" ht="135" x14ac:dyDescent="0.25">
      <c r="A2" s="285" t="s">
        <v>19</v>
      </c>
      <c r="B2" s="285" t="s">
        <v>242</v>
      </c>
      <c r="C2" s="286">
        <v>1</v>
      </c>
      <c r="D2" s="286">
        <v>0.75</v>
      </c>
    </row>
    <row r="18" spans="1:2" x14ac:dyDescent="0.25">
      <c r="A18" s="316"/>
    </row>
    <row r="19" spans="1:2" ht="30" x14ac:dyDescent="0.25">
      <c r="A19" s="317" t="s">
        <v>264</v>
      </c>
      <c r="B19" s="330" t="s">
        <v>266</v>
      </c>
    </row>
    <row r="20" spans="1:2" x14ac:dyDescent="0.25">
      <c r="A20" s="313">
        <v>2021</v>
      </c>
      <c r="B20" s="315">
        <v>1</v>
      </c>
    </row>
    <row r="21" spans="1:2" x14ac:dyDescent="0.25">
      <c r="A21" s="313"/>
      <c r="B21" s="315"/>
    </row>
  </sheetData>
  <sheetProtection algorithmName="SHA-512" hashValue="dZzvSCHMmM2t/6ybGyyuhKcqj2bCTbBNZgjk06PpyQ1pwzc2q0R4L3Aa2dm1mIl/mpkFH9g5+/Rey13mV0n67A==" saltValue="fqsmhS2rdUI2NgFEdUOktA==" spinCount="100000" sheet="1" objects="1" scenarios="1"/>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FD75-AD1B-41CA-A4D3-07B5FBB07806}">
  <dimension ref="A2:D127"/>
  <sheetViews>
    <sheetView topLeftCell="A109" workbookViewId="0">
      <selection activeCell="A124" sqref="A124:B127"/>
    </sheetView>
  </sheetViews>
  <sheetFormatPr baseColWidth="10" defaultRowHeight="15" x14ac:dyDescent="0.25"/>
  <cols>
    <col min="1" max="1" width="27.85546875" customWidth="1"/>
    <col min="2" max="2" width="31.28515625" customWidth="1"/>
    <col min="3" max="4" width="25.28515625" customWidth="1"/>
  </cols>
  <sheetData>
    <row r="2" spans="1:4" ht="42" customHeight="1" x14ac:dyDescent="0.25">
      <c r="A2" s="328" t="s">
        <v>17</v>
      </c>
      <c r="B2" s="342" t="s">
        <v>68</v>
      </c>
      <c r="C2" s="328" t="s">
        <v>263</v>
      </c>
      <c r="D2" s="328" t="s">
        <v>262</v>
      </c>
    </row>
    <row r="3" spans="1:4" ht="54.75" customHeight="1" x14ac:dyDescent="0.25">
      <c r="A3" s="522" t="s">
        <v>21</v>
      </c>
      <c r="B3" s="318" t="s">
        <v>243</v>
      </c>
      <c r="C3" s="325">
        <v>0</v>
      </c>
      <c r="D3" s="325">
        <v>0</v>
      </c>
    </row>
    <row r="4" spans="1:4" ht="54.75" customHeight="1" x14ac:dyDescent="0.25">
      <c r="A4" s="522"/>
      <c r="B4" s="320" t="s">
        <v>244</v>
      </c>
      <c r="C4" s="325">
        <f>100/100</f>
        <v>1</v>
      </c>
      <c r="D4" s="326">
        <v>0.6</v>
      </c>
    </row>
    <row r="5" spans="1:4" ht="54.75" customHeight="1" x14ac:dyDescent="0.25">
      <c r="A5" s="522"/>
      <c r="B5" s="324" t="s">
        <v>245</v>
      </c>
      <c r="C5" s="325">
        <f>100/100</f>
        <v>1</v>
      </c>
      <c r="D5" s="326">
        <v>0.83</v>
      </c>
    </row>
    <row r="6" spans="1:4" ht="54.75" customHeight="1" x14ac:dyDescent="0.25">
      <c r="A6" s="522"/>
      <c r="B6" s="320" t="s">
        <v>246</v>
      </c>
      <c r="C6" s="325">
        <f>100/100</f>
        <v>1</v>
      </c>
      <c r="D6" s="325">
        <f>100/100</f>
        <v>1</v>
      </c>
    </row>
    <row r="7" spans="1:4" ht="54.75" customHeight="1" x14ac:dyDescent="0.25">
      <c r="A7" s="522"/>
      <c r="B7" s="306" t="s">
        <v>247</v>
      </c>
      <c r="C7" s="325">
        <f>100/100</f>
        <v>1</v>
      </c>
      <c r="D7" s="325">
        <f>100/100</f>
        <v>1</v>
      </c>
    </row>
    <row r="11" spans="1:4" ht="27.75" customHeight="1" x14ac:dyDescent="0.25">
      <c r="A11" s="309" t="s">
        <v>68</v>
      </c>
      <c r="B11" s="310" t="s">
        <v>263</v>
      </c>
      <c r="C11" s="310" t="s">
        <v>262</v>
      </c>
    </row>
    <row r="12" spans="1:4" ht="64.5" customHeight="1" x14ac:dyDescent="0.25">
      <c r="A12" s="318" t="s">
        <v>243</v>
      </c>
      <c r="B12" s="314">
        <v>0</v>
      </c>
      <c r="C12" s="314">
        <v>0</v>
      </c>
    </row>
    <row r="30" spans="1:2" x14ac:dyDescent="0.25">
      <c r="A30" s="322" t="s">
        <v>264</v>
      </c>
      <c r="B30" s="322" t="s">
        <v>266</v>
      </c>
    </row>
    <row r="31" spans="1:2" x14ac:dyDescent="0.25">
      <c r="A31" s="313">
        <v>2021</v>
      </c>
      <c r="B31" s="315">
        <v>0</v>
      </c>
    </row>
    <row r="32" spans="1:2" x14ac:dyDescent="0.25">
      <c r="A32" s="313">
        <v>2022</v>
      </c>
      <c r="B32" s="315">
        <v>0.88</v>
      </c>
    </row>
    <row r="33" spans="1:3" x14ac:dyDescent="0.25">
      <c r="A33" s="313">
        <v>2023</v>
      </c>
      <c r="B33" s="319">
        <v>0.12</v>
      </c>
    </row>
    <row r="36" spans="1:3" ht="42.75" x14ac:dyDescent="0.25">
      <c r="A36" s="322" t="s">
        <v>68</v>
      </c>
      <c r="B36" s="322" t="s">
        <v>263</v>
      </c>
      <c r="C36" s="322" t="s">
        <v>262</v>
      </c>
    </row>
    <row r="37" spans="1:3" ht="45" x14ac:dyDescent="0.25">
      <c r="A37" s="321" t="s">
        <v>244</v>
      </c>
      <c r="B37" s="323">
        <v>1</v>
      </c>
      <c r="C37" s="323">
        <v>0.6</v>
      </c>
    </row>
    <row r="56" spans="1:3" x14ac:dyDescent="0.25">
      <c r="A56" s="322" t="s">
        <v>264</v>
      </c>
      <c r="B56" s="322" t="s">
        <v>266</v>
      </c>
    </row>
    <row r="57" spans="1:3" x14ac:dyDescent="0.25">
      <c r="A57" s="313">
        <v>2021</v>
      </c>
      <c r="B57" s="315">
        <v>1</v>
      </c>
    </row>
    <row r="59" spans="1:3" ht="42.75" x14ac:dyDescent="0.25">
      <c r="A59" s="322" t="s">
        <v>68</v>
      </c>
      <c r="B59" s="322" t="s">
        <v>263</v>
      </c>
      <c r="C59" s="322" t="s">
        <v>262</v>
      </c>
    </row>
    <row r="60" spans="1:3" ht="54" customHeight="1" x14ac:dyDescent="0.25">
      <c r="A60" s="327" t="s">
        <v>245</v>
      </c>
      <c r="B60" s="325">
        <f>100/100</f>
        <v>1</v>
      </c>
      <c r="C60" s="326">
        <v>0.83</v>
      </c>
    </row>
    <row r="78" spans="1:2" x14ac:dyDescent="0.25">
      <c r="A78" s="322" t="s">
        <v>264</v>
      </c>
      <c r="B78" s="322" t="s">
        <v>266</v>
      </c>
    </row>
    <row r="79" spans="1:2" x14ac:dyDescent="0.25">
      <c r="A79" s="313">
        <v>2021</v>
      </c>
      <c r="B79" s="315">
        <v>1</v>
      </c>
    </row>
    <row r="81" spans="1:3" ht="42.75" x14ac:dyDescent="0.25">
      <c r="A81" s="322" t="s">
        <v>68</v>
      </c>
      <c r="B81" s="322" t="s">
        <v>263</v>
      </c>
      <c r="C81" s="322" t="s">
        <v>262</v>
      </c>
    </row>
    <row r="82" spans="1:3" ht="45" x14ac:dyDescent="0.25">
      <c r="A82" s="327" t="s">
        <v>265</v>
      </c>
      <c r="B82" s="325">
        <f>100/100</f>
        <v>1</v>
      </c>
      <c r="C82" s="326">
        <v>1</v>
      </c>
    </row>
    <row r="100" spans="1:3" x14ac:dyDescent="0.25">
      <c r="A100" s="322" t="s">
        <v>264</v>
      </c>
      <c r="B100" s="322" t="s">
        <v>266</v>
      </c>
    </row>
    <row r="101" spans="1:3" x14ac:dyDescent="0.25">
      <c r="A101" s="313">
        <v>2021</v>
      </c>
      <c r="B101" s="315">
        <v>1</v>
      </c>
    </row>
    <row r="102" spans="1:3" x14ac:dyDescent="0.25">
      <c r="A102" s="313">
        <v>2022</v>
      </c>
      <c r="B102" s="315">
        <v>1</v>
      </c>
    </row>
    <row r="103" spans="1:3" x14ac:dyDescent="0.25">
      <c r="A103" s="313">
        <v>2023</v>
      </c>
      <c r="B103" s="319">
        <v>1</v>
      </c>
    </row>
    <row r="106" spans="1:3" ht="42.75" x14ac:dyDescent="0.25">
      <c r="A106" s="322" t="s">
        <v>68</v>
      </c>
      <c r="B106" s="322" t="s">
        <v>263</v>
      </c>
      <c r="C106" s="322" t="s">
        <v>262</v>
      </c>
    </row>
    <row r="107" spans="1:3" ht="45" x14ac:dyDescent="0.25">
      <c r="A107" s="327" t="s">
        <v>275</v>
      </c>
      <c r="B107" s="325">
        <f>100/100</f>
        <v>1</v>
      </c>
      <c r="C107" s="326">
        <v>1</v>
      </c>
    </row>
    <row r="124" spans="1:2" x14ac:dyDescent="0.25">
      <c r="A124" s="322" t="s">
        <v>264</v>
      </c>
      <c r="B124" s="322" t="s">
        <v>266</v>
      </c>
    </row>
    <row r="125" spans="1:2" x14ac:dyDescent="0.25">
      <c r="A125" s="313">
        <v>2021</v>
      </c>
      <c r="B125" s="315">
        <v>1</v>
      </c>
    </row>
    <row r="126" spans="1:2" x14ac:dyDescent="0.25">
      <c r="A126" s="313">
        <v>2022</v>
      </c>
      <c r="B126" s="315">
        <v>1</v>
      </c>
    </row>
    <row r="127" spans="1:2" x14ac:dyDescent="0.25">
      <c r="A127" s="313">
        <v>2023</v>
      </c>
      <c r="B127" s="319">
        <v>1</v>
      </c>
    </row>
  </sheetData>
  <sheetProtection algorithmName="SHA-512" hashValue="W9ZAyFHNUqLnf6uPABoP/aZcUzJRxHOQIgWAzAUVzNNFKeUiMznNmMQzeltXiJq+clTSZxSFKiiffp7/0yo38g==" saltValue="ARf/OA6Wn0xQ5+iXfItyqg==" spinCount="100000" sheet="1" objects="1" scenarios="1"/>
  <mergeCells count="1">
    <mergeCell ref="A3:A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4A5F-F299-4661-B1AF-099654BEE2F1}">
  <dimension ref="A1:D50"/>
  <sheetViews>
    <sheetView topLeftCell="A16" workbookViewId="0">
      <selection activeCell="A23" sqref="A23:B26"/>
    </sheetView>
  </sheetViews>
  <sheetFormatPr baseColWidth="10" defaultRowHeight="15" x14ac:dyDescent="0.25"/>
  <cols>
    <col min="1" max="1" width="16.7109375" customWidth="1"/>
    <col min="2" max="2" width="35.7109375" customWidth="1"/>
    <col min="3" max="4" width="20.5703125" customWidth="1"/>
  </cols>
  <sheetData>
    <row r="1" spans="1:4" ht="45" x14ac:dyDescent="0.25">
      <c r="A1" s="310" t="s">
        <v>17</v>
      </c>
      <c r="B1" s="309" t="s">
        <v>68</v>
      </c>
      <c r="C1" s="310" t="s">
        <v>263</v>
      </c>
      <c r="D1" s="310" t="s">
        <v>262</v>
      </c>
    </row>
    <row r="2" spans="1:4" ht="39.75" customHeight="1" x14ac:dyDescent="0.25">
      <c r="A2" s="522" t="s">
        <v>24</v>
      </c>
      <c r="B2" s="306" t="s">
        <v>248</v>
      </c>
      <c r="C2" s="314">
        <f>100/100</f>
        <v>1</v>
      </c>
      <c r="D2" s="307">
        <v>0.75</v>
      </c>
    </row>
    <row r="3" spans="1:4" ht="82.5" customHeight="1" x14ac:dyDescent="0.25">
      <c r="A3" s="522"/>
      <c r="B3" s="306" t="s">
        <v>249</v>
      </c>
      <c r="C3" s="314">
        <f>100/100</f>
        <v>1</v>
      </c>
      <c r="D3" s="307">
        <v>0.76</v>
      </c>
    </row>
    <row r="5" spans="1:4" ht="45" x14ac:dyDescent="0.25">
      <c r="A5" s="309" t="s">
        <v>68</v>
      </c>
      <c r="B5" s="310" t="s">
        <v>263</v>
      </c>
      <c r="C5" s="310" t="s">
        <v>262</v>
      </c>
      <c r="D5" s="329"/>
    </row>
    <row r="6" spans="1:4" ht="45" x14ac:dyDescent="0.25">
      <c r="A6" s="306" t="s">
        <v>248</v>
      </c>
      <c r="B6" s="314">
        <f>100/100</f>
        <v>1</v>
      </c>
      <c r="C6" s="307">
        <v>0.75</v>
      </c>
    </row>
    <row r="23" spans="1:3" x14ac:dyDescent="0.25">
      <c r="A23" s="322" t="s">
        <v>264</v>
      </c>
      <c r="B23" s="322" t="s">
        <v>266</v>
      </c>
    </row>
    <row r="24" spans="1:3" x14ac:dyDescent="0.25">
      <c r="A24" s="313">
        <v>2021</v>
      </c>
      <c r="B24" s="315">
        <v>1</v>
      </c>
    </row>
    <row r="25" spans="1:3" x14ac:dyDescent="0.25">
      <c r="A25" s="313">
        <v>2022</v>
      </c>
      <c r="B25" s="315">
        <v>1</v>
      </c>
    </row>
    <row r="26" spans="1:3" x14ac:dyDescent="0.25">
      <c r="A26" s="313">
        <v>2023</v>
      </c>
      <c r="B26" s="315">
        <v>1</v>
      </c>
    </row>
    <row r="29" spans="1:3" ht="45" x14ac:dyDescent="0.25">
      <c r="A29" s="309" t="s">
        <v>68</v>
      </c>
      <c r="B29" s="310" t="s">
        <v>263</v>
      </c>
      <c r="C29" s="310" t="s">
        <v>262</v>
      </c>
    </row>
    <row r="30" spans="1:3" ht="87.75" customHeight="1" x14ac:dyDescent="0.25">
      <c r="A30" s="306" t="s">
        <v>249</v>
      </c>
      <c r="B30" s="314">
        <f>100/100</f>
        <v>1</v>
      </c>
      <c r="C30" s="307">
        <v>0.76</v>
      </c>
    </row>
    <row r="47" spans="1:2" x14ac:dyDescent="0.25">
      <c r="A47" s="322" t="s">
        <v>264</v>
      </c>
      <c r="B47" s="322" t="s">
        <v>266</v>
      </c>
    </row>
    <row r="48" spans="1:2" x14ac:dyDescent="0.25">
      <c r="A48" s="313">
        <v>2021</v>
      </c>
      <c r="B48" s="315">
        <v>1</v>
      </c>
    </row>
    <row r="49" spans="1:2" x14ac:dyDescent="0.25">
      <c r="A49" s="313">
        <v>2022</v>
      </c>
      <c r="B49" s="315">
        <v>1</v>
      </c>
    </row>
    <row r="50" spans="1:2" x14ac:dyDescent="0.25">
      <c r="A50" s="313">
        <v>2023</v>
      </c>
      <c r="B50" s="315">
        <v>1</v>
      </c>
    </row>
  </sheetData>
  <sheetProtection algorithmName="SHA-512" hashValue="2jsNYno4PW2R8OLsGxBahtLcfzx8AG+P/SRGbmAu+Fw6ve0R1pZlUaVprXH8EZ4gP83o6zTDGXPVFFcIkwAOng==" saltValue="EEP7jm3zOE4FOoT6FnGCtQ==" spinCount="100000" sheet="1" objects="1" scenarios="1"/>
  <mergeCells count="1">
    <mergeCell ref="A2:A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B1F6-8D3F-4052-B3F6-C8EEF535545F}">
  <dimension ref="A2:D75"/>
  <sheetViews>
    <sheetView topLeftCell="A11" workbookViewId="0">
      <selection activeCell="A71" sqref="A71:C75"/>
    </sheetView>
  </sheetViews>
  <sheetFormatPr baseColWidth="10" defaultRowHeight="15" x14ac:dyDescent="0.25"/>
  <cols>
    <col min="1" max="2" width="29.5703125" customWidth="1"/>
    <col min="3" max="4" width="19.7109375" customWidth="1"/>
  </cols>
  <sheetData>
    <row r="2" spans="1:4" ht="44.25" customHeight="1" x14ac:dyDescent="0.25">
      <c r="A2" s="310" t="s">
        <v>17</v>
      </c>
      <c r="B2" s="309" t="s">
        <v>68</v>
      </c>
      <c r="C2" s="310" t="s">
        <v>263</v>
      </c>
      <c r="D2" s="310" t="s">
        <v>262</v>
      </c>
    </row>
    <row r="3" spans="1:4" ht="33.75" x14ac:dyDescent="0.25">
      <c r="A3" s="522" t="s">
        <v>0</v>
      </c>
      <c r="B3" s="306" t="s">
        <v>250</v>
      </c>
      <c r="C3" s="314">
        <v>1</v>
      </c>
      <c r="D3" s="314">
        <v>1</v>
      </c>
    </row>
    <row r="4" spans="1:4" ht="33.75" x14ac:dyDescent="0.25">
      <c r="A4" s="522"/>
      <c r="B4" s="306" t="s">
        <v>252</v>
      </c>
      <c r="C4" s="314">
        <v>1</v>
      </c>
      <c r="D4" s="307">
        <v>0.33</v>
      </c>
    </row>
    <row r="5" spans="1:4" ht="33.75" x14ac:dyDescent="0.25">
      <c r="A5" s="522"/>
      <c r="B5" s="306" t="s">
        <v>251</v>
      </c>
      <c r="C5" s="314">
        <v>1</v>
      </c>
      <c r="D5" s="307">
        <v>0</v>
      </c>
    </row>
    <row r="8" spans="1:4" ht="45" x14ac:dyDescent="0.25">
      <c r="A8" s="309" t="s">
        <v>267</v>
      </c>
      <c r="B8" s="310" t="s">
        <v>263</v>
      </c>
      <c r="C8" s="310" t="s">
        <v>262</v>
      </c>
      <c r="D8" s="329"/>
    </row>
    <row r="9" spans="1:4" ht="33.75" x14ac:dyDescent="0.25">
      <c r="A9" s="306" t="s">
        <v>250</v>
      </c>
      <c r="B9" s="314">
        <v>1</v>
      </c>
      <c r="C9" s="314">
        <v>1</v>
      </c>
      <c r="D9" s="331"/>
    </row>
    <row r="10" spans="1:4" x14ac:dyDescent="0.25">
      <c r="A10" t="s">
        <v>268</v>
      </c>
    </row>
    <row r="27" spans="1:3" ht="45" x14ac:dyDescent="0.25">
      <c r="A27" s="309" t="s">
        <v>267</v>
      </c>
      <c r="B27" s="310" t="s">
        <v>263</v>
      </c>
      <c r="C27" s="310" t="s">
        <v>262</v>
      </c>
    </row>
    <row r="28" spans="1:3" ht="33.75" x14ac:dyDescent="0.25">
      <c r="A28" s="335" t="s">
        <v>276</v>
      </c>
      <c r="B28" s="314">
        <v>1</v>
      </c>
      <c r="C28" s="314">
        <v>0.33</v>
      </c>
    </row>
    <row r="47" spans="1:3" ht="28.5" x14ac:dyDescent="0.25">
      <c r="A47" s="322" t="s">
        <v>264</v>
      </c>
      <c r="B47" s="332" t="s">
        <v>260</v>
      </c>
      <c r="C47" s="322" t="s">
        <v>266</v>
      </c>
    </row>
    <row r="48" spans="1:3" x14ac:dyDescent="0.25">
      <c r="A48" s="313">
        <v>2021</v>
      </c>
      <c r="B48" s="333">
        <v>3</v>
      </c>
      <c r="C48" s="315">
        <v>1</v>
      </c>
    </row>
    <row r="49" spans="1:3" x14ac:dyDescent="0.25">
      <c r="A49" s="313">
        <v>2022</v>
      </c>
      <c r="B49" s="333">
        <v>3</v>
      </c>
      <c r="C49" s="315">
        <v>1</v>
      </c>
    </row>
    <row r="50" spans="1:3" x14ac:dyDescent="0.25">
      <c r="A50" s="313">
        <v>2023</v>
      </c>
      <c r="B50" s="333">
        <v>3</v>
      </c>
      <c r="C50" s="315">
        <v>1</v>
      </c>
    </row>
    <row r="51" spans="1:3" x14ac:dyDescent="0.25">
      <c r="A51" s="322" t="s">
        <v>269</v>
      </c>
      <c r="B51" s="334">
        <f>SUM(B48:B50)</f>
        <v>9</v>
      </c>
      <c r="C51" s="322"/>
    </row>
    <row r="53" spans="1:3" ht="45" x14ac:dyDescent="0.25">
      <c r="A53" s="309" t="s">
        <v>267</v>
      </c>
      <c r="B53" s="310" t="s">
        <v>263</v>
      </c>
      <c r="C53" s="310" t="s">
        <v>262</v>
      </c>
    </row>
    <row r="54" spans="1:3" ht="33.75" x14ac:dyDescent="0.25">
      <c r="A54" s="336" t="s">
        <v>270</v>
      </c>
      <c r="B54" s="314">
        <v>0</v>
      </c>
      <c r="C54" s="314">
        <v>0</v>
      </c>
    </row>
    <row r="71" spans="1:3" ht="28.5" x14ac:dyDescent="0.25">
      <c r="A71" s="322" t="s">
        <v>264</v>
      </c>
      <c r="B71" s="332" t="s">
        <v>260</v>
      </c>
      <c r="C71" s="322" t="s">
        <v>266</v>
      </c>
    </row>
    <row r="72" spans="1:3" x14ac:dyDescent="0.25">
      <c r="A72" s="313">
        <v>2021</v>
      </c>
      <c r="B72" s="333">
        <v>0</v>
      </c>
      <c r="C72" s="315">
        <v>0</v>
      </c>
    </row>
    <row r="73" spans="1:3" x14ac:dyDescent="0.25">
      <c r="A73" s="313">
        <v>2022</v>
      </c>
      <c r="B73" s="333">
        <v>374</v>
      </c>
      <c r="C73" s="315">
        <v>1</v>
      </c>
    </row>
    <row r="74" spans="1:3" x14ac:dyDescent="0.25">
      <c r="A74" s="313">
        <v>2023</v>
      </c>
      <c r="B74" s="333">
        <f>600-B73</f>
        <v>226</v>
      </c>
      <c r="C74" s="315">
        <v>1</v>
      </c>
    </row>
    <row r="75" spans="1:3" x14ac:dyDescent="0.25">
      <c r="A75" s="322" t="s">
        <v>269</v>
      </c>
      <c r="B75" s="334">
        <f>SUM(B72:B74)</f>
        <v>600</v>
      </c>
      <c r="C75" s="322"/>
    </row>
  </sheetData>
  <sheetProtection algorithmName="SHA-512" hashValue="35NKp4rzxe0mNY/MTEBdMy/9TZYesmrheD/vqztz16CDkvXK9ZA0RO0Z14ixB7HHYKQPXdQSgCJyAT+BMrjYrg==" saltValue="5ouIa/GZjeadeDaq5ILOtg==" spinCount="100000" sheet="1" objects="1" scenarios="1"/>
  <mergeCells count="1">
    <mergeCell ref="A3:A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5D87-80C4-496A-9ACD-31CA0BEC765D}">
  <dimension ref="A2:D52"/>
  <sheetViews>
    <sheetView workbookViewId="0">
      <selection activeCell="A26" sqref="A26:B29"/>
    </sheetView>
  </sheetViews>
  <sheetFormatPr baseColWidth="10" defaultRowHeight="15" x14ac:dyDescent="0.25"/>
  <cols>
    <col min="1" max="1" width="16.28515625" customWidth="1"/>
    <col min="2" max="4" width="27.28515625" customWidth="1"/>
  </cols>
  <sheetData>
    <row r="2" spans="1:4" ht="30" x14ac:dyDescent="0.25">
      <c r="A2" s="310" t="s">
        <v>17</v>
      </c>
      <c r="B2" s="309" t="s">
        <v>68</v>
      </c>
      <c r="C2" s="310" t="s">
        <v>263</v>
      </c>
      <c r="D2" s="310" t="s">
        <v>262</v>
      </c>
    </row>
    <row r="3" spans="1:4" ht="47.25" customHeight="1" x14ac:dyDescent="0.25">
      <c r="A3" s="523" t="s">
        <v>108</v>
      </c>
      <c r="B3" s="306" t="s">
        <v>253</v>
      </c>
      <c r="C3" s="314">
        <v>1</v>
      </c>
      <c r="D3" s="314">
        <f>75/100</f>
        <v>0.75</v>
      </c>
    </row>
    <row r="4" spans="1:4" ht="135" customHeight="1" x14ac:dyDescent="0.25">
      <c r="A4" s="523"/>
      <c r="B4" s="306" t="s">
        <v>261</v>
      </c>
      <c r="C4" s="314">
        <v>1</v>
      </c>
      <c r="D4" s="314">
        <f>47/100</f>
        <v>0.47</v>
      </c>
    </row>
    <row r="6" spans="1:4" ht="30" x14ac:dyDescent="0.25">
      <c r="A6" s="309" t="s">
        <v>267</v>
      </c>
      <c r="B6" s="310" t="s">
        <v>263</v>
      </c>
      <c r="C6" s="310" t="s">
        <v>262</v>
      </c>
    </row>
    <row r="7" spans="1:4" ht="56.25" x14ac:dyDescent="0.25">
      <c r="A7" s="306" t="s">
        <v>253</v>
      </c>
      <c r="B7" s="314">
        <v>1</v>
      </c>
      <c r="C7" s="314">
        <f>75/100</f>
        <v>0.75</v>
      </c>
    </row>
    <row r="26" spans="1:3" ht="28.5" x14ac:dyDescent="0.25">
      <c r="A26" s="337" t="s">
        <v>264</v>
      </c>
      <c r="B26" s="322" t="s">
        <v>266</v>
      </c>
      <c r="C26" s="338"/>
    </row>
    <row r="27" spans="1:3" x14ac:dyDescent="0.25">
      <c r="A27" s="340">
        <v>2021</v>
      </c>
      <c r="B27" s="315">
        <v>1</v>
      </c>
      <c r="C27" s="339"/>
    </row>
    <row r="28" spans="1:3" x14ac:dyDescent="0.25">
      <c r="A28" s="340">
        <v>2022</v>
      </c>
      <c r="B28" s="315">
        <v>1</v>
      </c>
      <c r="C28" s="339"/>
    </row>
    <row r="29" spans="1:3" x14ac:dyDescent="0.25">
      <c r="A29" s="340">
        <v>2023</v>
      </c>
      <c r="B29" s="315">
        <v>1</v>
      </c>
    </row>
    <row r="31" spans="1:3" ht="30" x14ac:dyDescent="0.25">
      <c r="A31" s="309" t="s">
        <v>267</v>
      </c>
      <c r="B31" s="310" t="s">
        <v>263</v>
      </c>
      <c r="C31" s="310" t="s">
        <v>262</v>
      </c>
    </row>
    <row r="32" spans="1:3" ht="135" x14ac:dyDescent="0.25">
      <c r="A32" s="306" t="s">
        <v>271</v>
      </c>
      <c r="B32" s="314">
        <v>1</v>
      </c>
      <c r="C32" s="314">
        <f>47/100</f>
        <v>0.47</v>
      </c>
    </row>
    <row r="49" spans="1:2" ht="28.5" x14ac:dyDescent="0.25">
      <c r="A49" s="337" t="s">
        <v>264</v>
      </c>
      <c r="B49" s="322" t="s">
        <v>266</v>
      </c>
    </row>
    <row r="50" spans="1:2" x14ac:dyDescent="0.25">
      <c r="A50" s="340">
        <v>2021</v>
      </c>
      <c r="B50" s="315" t="s">
        <v>272</v>
      </c>
    </row>
    <row r="51" spans="1:2" x14ac:dyDescent="0.25">
      <c r="A51" s="340">
        <v>2022</v>
      </c>
      <c r="B51" s="315" t="s">
        <v>272</v>
      </c>
    </row>
    <row r="52" spans="1:2" x14ac:dyDescent="0.25">
      <c r="A52" s="340">
        <v>2023</v>
      </c>
      <c r="B52" s="315" t="s">
        <v>272</v>
      </c>
    </row>
  </sheetData>
  <sheetProtection algorithmName="SHA-512" hashValue="KavI7Sj9rPF3RweY2Eq1tPWLzWpXH8uqGkrA3uOgufWLGq+O3MvPU0wz2L/hpPyWNWceDaZKIxP+k3iIalAjfQ==" saltValue="mAuv28a7lSn9SLJgwv0gSg==" spinCount="100000" sheet="1" objects="1" scenarios="1"/>
  <mergeCells count="1">
    <mergeCell ref="A3:A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EE46-0A33-4276-8412-D8D891F42147}">
  <dimension ref="A1:D21"/>
  <sheetViews>
    <sheetView topLeftCell="A8" workbookViewId="0">
      <selection activeCell="A18" sqref="A18:B21"/>
    </sheetView>
  </sheetViews>
  <sheetFormatPr baseColWidth="10" defaultRowHeight="15" x14ac:dyDescent="0.25"/>
  <cols>
    <col min="1" max="3" width="17.42578125" customWidth="1"/>
    <col min="4" max="4" width="19.28515625" customWidth="1"/>
  </cols>
  <sheetData>
    <row r="1" spans="1:4" ht="62.25" customHeight="1" x14ac:dyDescent="0.25">
      <c r="A1" s="310" t="s">
        <v>17</v>
      </c>
      <c r="B1" s="309" t="s">
        <v>68</v>
      </c>
      <c r="C1" s="310" t="s">
        <v>263</v>
      </c>
      <c r="D1" s="310" t="s">
        <v>262</v>
      </c>
    </row>
    <row r="2" spans="1:4" ht="157.5" x14ac:dyDescent="0.25">
      <c r="A2" s="306" t="s">
        <v>274</v>
      </c>
      <c r="B2" s="341" t="s">
        <v>273</v>
      </c>
      <c r="C2" s="307">
        <v>1</v>
      </c>
      <c r="D2" s="307">
        <v>0.66</v>
      </c>
    </row>
    <row r="4" spans="1:4" ht="26.25" customHeight="1" x14ac:dyDescent="0.25"/>
    <row r="18" spans="1:2" ht="42.75" x14ac:dyDescent="0.25">
      <c r="A18" s="337" t="s">
        <v>264</v>
      </c>
      <c r="B18" s="322" t="s">
        <v>266</v>
      </c>
    </row>
    <row r="19" spans="1:2" x14ac:dyDescent="0.25">
      <c r="A19" s="340">
        <v>2021</v>
      </c>
      <c r="B19" s="315">
        <v>1</v>
      </c>
    </row>
    <row r="20" spans="1:2" x14ac:dyDescent="0.25">
      <c r="A20" s="340">
        <v>2022</v>
      </c>
      <c r="B20" s="315">
        <v>1</v>
      </c>
    </row>
    <row r="21" spans="1:2" x14ac:dyDescent="0.25">
      <c r="A21" s="340">
        <v>2023</v>
      </c>
      <c r="B21" s="315">
        <v>1</v>
      </c>
    </row>
  </sheetData>
  <sheetProtection algorithmName="SHA-512" hashValue="+RVwHCIN3G8pZzw0czXP+VravMs/9kPod3lhqYPjm+u0DxJfQAq4e0b8SB0hX/u/7cU1cT60uN9nfknu+NHZbA==" saltValue="Mi+7lOZbrycxIw5VR5xXrw==" spinCount="100000" sheet="1" objects="1" scenarios="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9E08-51C3-4CEF-B66E-AC5504E7EA3F}">
  <dimension ref="A1:D21"/>
  <sheetViews>
    <sheetView workbookViewId="0">
      <selection activeCell="A18" sqref="A18:B21"/>
    </sheetView>
  </sheetViews>
  <sheetFormatPr baseColWidth="10" defaultRowHeight="15" x14ac:dyDescent="0.25"/>
  <cols>
    <col min="1" max="3" width="17.42578125" customWidth="1"/>
    <col min="4" max="4" width="19.28515625" customWidth="1"/>
  </cols>
  <sheetData>
    <row r="1" spans="1:4" ht="62.25" customHeight="1" x14ac:dyDescent="0.25">
      <c r="A1" s="310" t="s">
        <v>17</v>
      </c>
      <c r="B1" s="309" t="s">
        <v>68</v>
      </c>
      <c r="C1" s="310" t="s">
        <v>263</v>
      </c>
      <c r="D1" s="310" t="s">
        <v>262</v>
      </c>
    </row>
    <row r="2" spans="1:4" ht="135" x14ac:dyDescent="0.25">
      <c r="A2" s="306" t="s">
        <v>1</v>
      </c>
      <c r="B2" s="306" t="s">
        <v>254</v>
      </c>
      <c r="C2" s="307">
        <v>1</v>
      </c>
      <c r="D2" s="307">
        <v>0.75</v>
      </c>
    </row>
    <row r="4" spans="1:4" ht="26.25" customHeight="1" x14ac:dyDescent="0.25"/>
    <row r="18" spans="1:2" ht="42.75" x14ac:dyDescent="0.25">
      <c r="A18" s="337" t="s">
        <v>264</v>
      </c>
      <c r="B18" s="322" t="s">
        <v>266</v>
      </c>
    </row>
    <row r="19" spans="1:2" x14ac:dyDescent="0.25">
      <c r="A19" s="340">
        <v>2021</v>
      </c>
      <c r="B19" s="315">
        <v>1</v>
      </c>
    </row>
    <row r="20" spans="1:2" x14ac:dyDescent="0.25">
      <c r="A20" s="340">
        <v>2022</v>
      </c>
      <c r="B20" s="315">
        <v>1</v>
      </c>
    </row>
    <row r="21" spans="1:2" x14ac:dyDescent="0.25">
      <c r="A21" s="340">
        <v>2023</v>
      </c>
      <c r="B21" s="315">
        <v>1</v>
      </c>
    </row>
  </sheetData>
  <sheetProtection algorithmName="SHA-512" hashValue="59rdQlfrZY3njHYvJzT6vGCaJ6IYTCAyyGC2zDbs9WPfaKZMnFYrqtJ4D7PqinLDi6X0uc8zI7vzgqI/Xn1fVw==" saltValue="0AEHi6X67fJfMYp9x9SlWg==" spinCount="100000" sheet="1" objects="1" scenarios="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B9DB5-1649-4B47-8516-CD212159694F}">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400"/>
      <c r="B1" s="400"/>
      <c r="C1" s="403" t="s">
        <v>130</v>
      </c>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BC1" s="112" t="s">
        <v>141</v>
      </c>
    </row>
    <row r="2" spans="1:56" ht="27" customHeight="1" x14ac:dyDescent="0.2">
      <c r="A2" s="401"/>
      <c r="B2" s="401"/>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BC2" s="112" t="s">
        <v>143</v>
      </c>
    </row>
    <row r="3" spans="1:56" ht="34.5" customHeight="1" thickBot="1" x14ac:dyDescent="0.25">
      <c r="A3" s="402"/>
      <c r="B3" s="402"/>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406" t="s">
        <v>51</v>
      </c>
      <c r="B5" s="377" t="s">
        <v>17</v>
      </c>
      <c r="C5" s="377" t="s">
        <v>18</v>
      </c>
      <c r="D5" s="536" t="s">
        <v>154</v>
      </c>
      <c r="E5" s="377" t="s">
        <v>16</v>
      </c>
      <c r="F5" s="377" t="s">
        <v>15</v>
      </c>
      <c r="G5" s="377" t="s">
        <v>14</v>
      </c>
      <c r="H5" s="538" t="s">
        <v>148</v>
      </c>
      <c r="I5" s="539"/>
      <c r="J5" s="379" t="s">
        <v>147</v>
      </c>
      <c r="K5" s="380"/>
      <c r="L5" s="380"/>
      <c r="M5" s="380"/>
      <c r="N5" s="380"/>
      <c r="O5" s="380"/>
      <c r="P5" s="380"/>
      <c r="Q5" s="380"/>
      <c r="R5" s="380"/>
      <c r="S5" s="381"/>
      <c r="T5" s="118"/>
      <c r="U5" s="118"/>
      <c r="V5" s="118"/>
      <c r="W5" s="118"/>
      <c r="X5" s="118"/>
      <c r="Y5" s="118"/>
      <c r="Z5" s="118"/>
      <c r="AA5" s="118"/>
      <c r="AB5" s="118"/>
      <c r="AC5" s="118"/>
      <c r="AD5" s="118"/>
      <c r="AE5" s="118"/>
      <c r="AF5" s="118"/>
      <c r="AG5" s="118"/>
      <c r="AH5" s="118"/>
      <c r="AI5" s="118"/>
      <c r="AJ5" s="118"/>
      <c r="AK5" s="118"/>
      <c r="AL5" s="118"/>
      <c r="AM5" s="118"/>
      <c r="AN5" s="118"/>
      <c r="AO5" s="118"/>
      <c r="AP5" s="382"/>
      <c r="AQ5" s="383"/>
      <c r="AR5" s="383"/>
      <c r="AS5" s="383"/>
      <c r="AT5" s="383"/>
      <c r="AU5" s="384"/>
      <c r="AV5" s="385">
        <v>2021</v>
      </c>
      <c r="AW5" s="385"/>
      <c r="AX5" s="387" t="s">
        <v>9</v>
      </c>
      <c r="AY5" s="388"/>
      <c r="AZ5" s="388"/>
      <c r="BA5" s="389"/>
      <c r="BB5" s="385" t="s">
        <v>8</v>
      </c>
      <c r="BC5" s="393" t="s">
        <v>134</v>
      </c>
      <c r="BD5" s="532" t="s">
        <v>140</v>
      </c>
    </row>
    <row r="6" spans="1:56" ht="18" customHeight="1" x14ac:dyDescent="0.2">
      <c r="A6" s="407"/>
      <c r="B6" s="378"/>
      <c r="C6" s="378"/>
      <c r="D6" s="537"/>
      <c r="E6" s="378"/>
      <c r="F6" s="378"/>
      <c r="G6" s="378"/>
      <c r="H6" s="540"/>
      <c r="I6" s="541"/>
      <c r="J6" s="398" t="s">
        <v>110</v>
      </c>
      <c r="K6" s="398"/>
      <c r="L6" s="398" t="s">
        <v>111</v>
      </c>
      <c r="M6" s="398"/>
      <c r="N6" s="398" t="s">
        <v>112</v>
      </c>
      <c r="O6" s="398"/>
      <c r="P6" s="535" t="s">
        <v>13</v>
      </c>
      <c r="Q6" s="535"/>
      <c r="R6" s="398" t="s">
        <v>113</v>
      </c>
      <c r="S6" s="398"/>
      <c r="T6" s="398" t="s">
        <v>114</v>
      </c>
      <c r="U6" s="398"/>
      <c r="V6" s="398" t="s">
        <v>115</v>
      </c>
      <c r="W6" s="398"/>
      <c r="X6" s="397" t="s">
        <v>12</v>
      </c>
      <c r="Y6" s="397"/>
      <c r="Z6" s="398" t="s">
        <v>116</v>
      </c>
      <c r="AA6" s="398"/>
      <c r="AB6" s="398" t="s">
        <v>117</v>
      </c>
      <c r="AC6" s="398"/>
      <c r="AD6" s="398" t="s">
        <v>118</v>
      </c>
      <c r="AE6" s="398"/>
      <c r="AF6" s="397" t="s">
        <v>11</v>
      </c>
      <c r="AG6" s="397"/>
      <c r="AH6" s="398" t="s">
        <v>119</v>
      </c>
      <c r="AI6" s="398"/>
      <c r="AJ6" s="398" t="s">
        <v>120</v>
      </c>
      <c r="AK6" s="398"/>
      <c r="AL6" s="398" t="s">
        <v>121</v>
      </c>
      <c r="AM6" s="398"/>
      <c r="AN6" s="397" t="s">
        <v>10</v>
      </c>
      <c r="AO6" s="397"/>
      <c r="AP6" s="399">
        <v>2022</v>
      </c>
      <c r="AQ6" s="399"/>
      <c r="AR6" s="399">
        <v>2023</v>
      </c>
      <c r="AS6" s="399"/>
      <c r="AT6" s="399">
        <v>2024</v>
      </c>
      <c r="AU6" s="399"/>
      <c r="AV6" s="386"/>
      <c r="AW6" s="386"/>
      <c r="AX6" s="390"/>
      <c r="AY6" s="391"/>
      <c r="AZ6" s="391"/>
      <c r="BA6" s="392"/>
      <c r="BB6" s="386"/>
      <c r="BC6" s="394"/>
      <c r="BD6" s="533"/>
    </row>
    <row r="7" spans="1:56" s="3" customFormat="1" ht="26.25" customHeight="1" thickBot="1" x14ac:dyDescent="0.3">
      <c r="A7" s="407"/>
      <c r="B7" s="378"/>
      <c r="C7" s="378"/>
      <c r="D7" s="537"/>
      <c r="E7" s="378"/>
      <c r="F7" s="378"/>
      <c r="G7" s="378"/>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386"/>
      <c r="BC7" s="394"/>
      <c r="BD7" s="534"/>
    </row>
    <row r="8" spans="1:56" ht="84.75" customHeight="1" x14ac:dyDescent="0.2">
      <c r="A8" s="364" t="s">
        <v>45</v>
      </c>
      <c r="B8" s="366"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368">
        <v>0.16500000000000001</v>
      </c>
    </row>
    <row r="9" spans="1:56" ht="66" customHeight="1" x14ac:dyDescent="0.2">
      <c r="A9" s="365"/>
      <c r="B9" s="367"/>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369"/>
    </row>
    <row r="10" spans="1:56" ht="80.25" customHeight="1" x14ac:dyDescent="0.2">
      <c r="A10" s="370" t="s">
        <v>46</v>
      </c>
      <c r="B10" s="371" t="s">
        <v>21</v>
      </c>
      <c r="C10" s="371"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374">
        <v>6.8000000000000005E-2</v>
      </c>
    </row>
    <row r="11" spans="1:56" ht="65.25" customHeight="1" x14ac:dyDescent="0.2">
      <c r="A11" s="370"/>
      <c r="B11" s="372"/>
      <c r="C11" s="373"/>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375"/>
    </row>
    <row r="12" spans="1:56" ht="78.75" x14ac:dyDescent="0.2">
      <c r="A12" s="370"/>
      <c r="B12" s="372"/>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375"/>
    </row>
    <row r="13" spans="1:56" ht="66.75" customHeight="1" x14ac:dyDescent="0.2">
      <c r="A13" s="370"/>
      <c r="B13" s="372"/>
      <c r="C13" s="371"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375"/>
    </row>
    <row r="14" spans="1:56" ht="75.75" customHeight="1" x14ac:dyDescent="0.2">
      <c r="A14" s="370"/>
      <c r="B14" s="372"/>
      <c r="C14" s="372"/>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375"/>
    </row>
    <row r="15" spans="1:56" ht="112.15" customHeight="1" x14ac:dyDescent="0.2">
      <c r="A15" s="370"/>
      <c r="B15" s="373"/>
      <c r="C15" s="373"/>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376"/>
    </row>
    <row r="16" spans="1:56" ht="81" customHeight="1" x14ac:dyDescent="0.2">
      <c r="A16" s="356" t="s">
        <v>47</v>
      </c>
      <c r="B16" s="357"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359">
        <v>0.12</v>
      </c>
    </row>
    <row r="17" spans="1:56" ht="76.5" customHeight="1" x14ac:dyDescent="0.2">
      <c r="A17" s="356"/>
      <c r="B17" s="358"/>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360"/>
    </row>
    <row r="18" spans="1:56" ht="53.25" customHeight="1" x14ac:dyDescent="0.2">
      <c r="A18" s="361" t="s">
        <v>48</v>
      </c>
      <c r="B18" s="362"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529">
        <v>0.30299999999999999</v>
      </c>
    </row>
    <row r="19" spans="1:56" ht="76.5" customHeight="1" x14ac:dyDescent="0.2">
      <c r="A19" s="361"/>
      <c r="B19" s="363"/>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530"/>
    </row>
    <row r="20" spans="1:56" ht="42.75" customHeight="1" x14ac:dyDescent="0.2">
      <c r="A20" s="344" t="s">
        <v>93</v>
      </c>
      <c r="B20" s="531"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348">
        <v>0.223</v>
      </c>
    </row>
    <row r="21" spans="1:56" ht="67.5" x14ac:dyDescent="0.2">
      <c r="A21" s="344"/>
      <c r="B21" s="531"/>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349"/>
    </row>
    <row r="22" spans="1:56" ht="56.25" x14ac:dyDescent="0.2">
      <c r="A22" s="344"/>
      <c r="B22" s="531"/>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349"/>
    </row>
    <row r="23" spans="1:56" ht="81" x14ac:dyDescent="0.2">
      <c r="A23" s="524" t="s">
        <v>49</v>
      </c>
      <c r="B23" s="352"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525" t="s">
        <v>139</v>
      </c>
    </row>
    <row r="24" spans="1:56" ht="219.75" customHeight="1" x14ac:dyDescent="0.2">
      <c r="A24" s="524"/>
      <c r="B24" s="353"/>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526"/>
    </row>
    <row r="25" spans="1:56" ht="108" x14ac:dyDescent="0.2">
      <c r="A25" s="524"/>
      <c r="B25" s="528"/>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527"/>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1:B3"/>
    <mergeCell ref="C1:AW3"/>
    <mergeCell ref="A5:A7"/>
    <mergeCell ref="B5:B7"/>
    <mergeCell ref="C5:C7"/>
    <mergeCell ref="D5:D7"/>
    <mergeCell ref="E5:E7"/>
    <mergeCell ref="F5:F7"/>
    <mergeCell ref="G5:G7"/>
    <mergeCell ref="H5:I6"/>
    <mergeCell ref="BC5:BC7"/>
    <mergeCell ref="AB6:AC6"/>
    <mergeCell ref="AD6:AE6"/>
    <mergeCell ref="AF6:AG6"/>
    <mergeCell ref="AH6:AI6"/>
    <mergeCell ref="AT6:AU6"/>
    <mergeCell ref="AL6:AM6"/>
    <mergeCell ref="AN6:AO6"/>
    <mergeCell ref="AP6:AQ6"/>
    <mergeCell ref="AR6:AS6"/>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A8:A9"/>
    <mergeCell ref="B8:B9"/>
    <mergeCell ref="BD8:BD9"/>
    <mergeCell ref="A10:A15"/>
    <mergeCell ref="C10:C11"/>
    <mergeCell ref="BD10:BD15"/>
    <mergeCell ref="C13:C15"/>
    <mergeCell ref="A23:A25"/>
    <mergeCell ref="BD23:BD25"/>
    <mergeCell ref="B10:B15"/>
    <mergeCell ref="B16:B17"/>
    <mergeCell ref="B18:B19"/>
    <mergeCell ref="B23:B25"/>
    <mergeCell ref="A16:A17"/>
    <mergeCell ref="BD16:BD17"/>
    <mergeCell ref="A18:A19"/>
    <mergeCell ref="BD18:BD19"/>
    <mergeCell ref="A20:A22"/>
    <mergeCell ref="B20:B22"/>
    <mergeCell ref="BD20:BD22"/>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E16"/>
  <sheetViews>
    <sheetView zoomScale="80" zoomScaleNormal="80" workbookViewId="0">
      <pane xSplit="2" ySplit="6" topLeftCell="C7" activePane="bottomRight" state="frozen"/>
      <selection pane="topRight" activeCell="C1" sqref="C1"/>
      <selection pane="bottomLeft" activeCell="A7" sqref="A7"/>
      <selection pane="bottomRight" activeCell="A15" sqref="A15:BD16"/>
    </sheetView>
  </sheetViews>
  <sheetFormatPr baseColWidth="10" defaultColWidth="0" defaultRowHeight="9" x14ac:dyDescent="0.15"/>
  <cols>
    <col min="1" max="1" width="14.42578125" style="177" customWidth="1"/>
    <col min="2" max="2" width="31.7109375" style="177" customWidth="1"/>
    <col min="3" max="3" width="29.42578125" style="178" customWidth="1"/>
    <col min="4" max="4" width="17" style="177" hidden="1" customWidth="1"/>
    <col min="5" max="5" width="19.28515625" style="177" customWidth="1"/>
    <col min="6" max="6" width="61.140625" style="177" hidden="1" customWidth="1"/>
    <col min="7" max="7" width="58.5703125" style="177" hidden="1" customWidth="1"/>
    <col min="8" max="8" width="5.28515625" style="177" hidden="1" customWidth="1"/>
    <col min="9" max="9" width="6.42578125" style="177" hidden="1" customWidth="1"/>
    <col min="10" max="10" width="8.42578125" style="177" hidden="1" customWidth="1"/>
    <col min="11" max="22" width="5.7109375" style="177" hidden="1" customWidth="1"/>
    <col min="23" max="23" width="6" style="177" hidden="1" customWidth="1"/>
    <col min="24" max="24" width="5.7109375" style="177" hidden="1" customWidth="1"/>
    <col min="25" max="25" width="6" style="177" hidden="1" customWidth="1"/>
    <col min="26" max="26" width="5.42578125" style="177" hidden="1" customWidth="1"/>
    <col min="27" max="27" width="4.5703125" style="177" hidden="1" customWidth="1"/>
    <col min="28" max="28" width="6" style="177" hidden="1" customWidth="1"/>
    <col min="29" max="29" width="4.5703125" style="177" hidden="1" customWidth="1"/>
    <col min="30" max="30" width="6" style="177" hidden="1" customWidth="1"/>
    <col min="31" max="31" width="4.5703125" style="177" hidden="1" customWidth="1"/>
    <col min="32" max="32" width="6" style="177" hidden="1" customWidth="1"/>
    <col min="33" max="33" width="4.5703125" style="177" hidden="1" customWidth="1"/>
    <col min="34" max="34" width="6" style="177" hidden="1" customWidth="1"/>
    <col min="35" max="35" width="4.5703125" style="177" hidden="1" customWidth="1"/>
    <col min="36" max="36" width="6" style="177" hidden="1" customWidth="1"/>
    <col min="37" max="37" width="4.5703125" style="177" hidden="1" customWidth="1"/>
    <col min="38" max="38" width="6" style="177" hidden="1" customWidth="1"/>
    <col min="39" max="39" width="4.5703125" style="177" hidden="1" customWidth="1"/>
    <col min="40" max="40" width="6" style="177" hidden="1" customWidth="1"/>
    <col min="41" max="41" width="4.5703125" style="177" hidden="1" customWidth="1"/>
    <col min="42" max="42" width="6.5703125" style="177" hidden="1" customWidth="1"/>
    <col min="43" max="43" width="6.140625" style="177" hidden="1" customWidth="1"/>
    <col min="44" max="44" width="6.5703125" style="177" hidden="1" customWidth="1"/>
    <col min="45" max="45" width="5.42578125" style="177" hidden="1" customWidth="1"/>
    <col min="46" max="46" width="6.5703125" style="177" hidden="1" customWidth="1"/>
    <col min="47" max="47" width="5.42578125" style="177" hidden="1" customWidth="1"/>
    <col min="48" max="48" width="7.42578125" style="177" hidden="1" customWidth="1"/>
    <col min="49" max="49" width="8" style="177" hidden="1" customWidth="1"/>
    <col min="50" max="50" width="9.140625" style="177" hidden="1" customWidth="1"/>
    <col min="51" max="51" width="10" style="177" hidden="1" customWidth="1"/>
    <col min="52" max="53" width="9.42578125" style="177" hidden="1" customWidth="1"/>
    <col min="54" max="54" width="17.7109375" style="177" hidden="1" customWidth="1"/>
    <col min="55" max="55" width="110.28515625" style="178" hidden="1" customWidth="1"/>
    <col min="56" max="56" width="31.5703125" style="177" customWidth="1"/>
    <col min="57" max="57" width="0" style="177" hidden="1" customWidth="1"/>
    <col min="58" max="16384" width="22.42578125" style="177" hidden="1"/>
  </cols>
  <sheetData>
    <row r="1" spans="1:57" ht="21" customHeight="1" x14ac:dyDescent="0.15">
      <c r="A1" s="441"/>
      <c r="B1" s="442"/>
      <c r="C1" s="447" t="s">
        <v>130</v>
      </c>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9"/>
      <c r="BD1" s="222" t="s">
        <v>198</v>
      </c>
      <c r="BE1" s="223"/>
    </row>
    <row r="2" spans="1:57" ht="16.5" customHeight="1" x14ac:dyDescent="0.2">
      <c r="A2" s="443"/>
      <c r="B2" s="444"/>
      <c r="C2" s="447"/>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9"/>
      <c r="BD2" s="112" t="s">
        <v>199</v>
      </c>
      <c r="BE2" s="1"/>
    </row>
    <row r="3" spans="1:57" ht="14.25" customHeight="1" thickBot="1" x14ac:dyDescent="0.25">
      <c r="A3" s="445"/>
      <c r="B3" s="446"/>
      <c r="C3" s="447"/>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9"/>
      <c r="BD3" s="112" t="s">
        <v>200</v>
      </c>
      <c r="BE3" s="1"/>
    </row>
    <row r="4" spans="1:57" s="152" customFormat="1" ht="22.5" customHeight="1" x14ac:dyDescent="0.3">
      <c r="A4" s="450" t="s">
        <v>51</v>
      </c>
      <c r="B4" s="452" t="s">
        <v>17</v>
      </c>
      <c r="C4" s="452" t="s">
        <v>18</v>
      </c>
      <c r="D4" s="452" t="s">
        <v>61</v>
      </c>
      <c r="E4" s="452" t="s">
        <v>16</v>
      </c>
      <c r="F4" s="452" t="s">
        <v>15</v>
      </c>
      <c r="G4" s="452" t="s">
        <v>14</v>
      </c>
      <c r="H4" s="454" t="s">
        <v>155</v>
      </c>
      <c r="I4" s="455"/>
      <c r="J4" s="427" t="s">
        <v>147</v>
      </c>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9"/>
      <c r="AV4" s="430">
        <v>2021</v>
      </c>
      <c r="AW4" s="431"/>
      <c r="AX4" s="430" t="s">
        <v>9</v>
      </c>
      <c r="AY4" s="434"/>
      <c r="AZ4" s="434"/>
      <c r="BA4" s="431"/>
      <c r="BB4" s="436" t="s">
        <v>8</v>
      </c>
      <c r="BC4" s="424" t="s">
        <v>134</v>
      </c>
      <c r="BD4" s="424" t="s">
        <v>140</v>
      </c>
    </row>
    <row r="5" spans="1:57" s="152" customFormat="1" ht="13.5" x14ac:dyDescent="0.3">
      <c r="A5" s="451"/>
      <c r="B5" s="453"/>
      <c r="C5" s="453"/>
      <c r="D5" s="453"/>
      <c r="E5" s="453"/>
      <c r="F5" s="453"/>
      <c r="G5" s="453"/>
      <c r="H5" s="456"/>
      <c r="I5" s="457"/>
      <c r="J5" s="420" t="s">
        <v>110</v>
      </c>
      <c r="K5" s="420"/>
      <c r="L5" s="420" t="s">
        <v>111</v>
      </c>
      <c r="M5" s="420"/>
      <c r="N5" s="420" t="s">
        <v>112</v>
      </c>
      <c r="O5" s="420"/>
      <c r="P5" s="420" t="s">
        <v>13</v>
      </c>
      <c r="Q5" s="420"/>
      <c r="R5" s="420" t="s">
        <v>113</v>
      </c>
      <c r="S5" s="420"/>
      <c r="T5" s="420" t="s">
        <v>114</v>
      </c>
      <c r="U5" s="420"/>
      <c r="V5" s="420" t="s">
        <v>115</v>
      </c>
      <c r="W5" s="420"/>
      <c r="X5" s="420" t="s">
        <v>12</v>
      </c>
      <c r="Y5" s="420"/>
      <c r="Z5" s="420" t="s">
        <v>116</v>
      </c>
      <c r="AA5" s="420"/>
      <c r="AB5" s="420" t="s">
        <v>117</v>
      </c>
      <c r="AC5" s="420"/>
      <c r="AD5" s="420" t="s">
        <v>118</v>
      </c>
      <c r="AE5" s="420"/>
      <c r="AF5" s="420" t="s">
        <v>11</v>
      </c>
      <c r="AG5" s="420"/>
      <c r="AH5" s="420" t="s">
        <v>119</v>
      </c>
      <c r="AI5" s="420"/>
      <c r="AJ5" s="420" t="s">
        <v>120</v>
      </c>
      <c r="AK5" s="420"/>
      <c r="AL5" s="420" t="s">
        <v>121</v>
      </c>
      <c r="AM5" s="420"/>
      <c r="AN5" s="421" t="s">
        <v>10</v>
      </c>
      <c r="AO5" s="422"/>
      <c r="AP5" s="439">
        <v>2022</v>
      </c>
      <c r="AQ5" s="440"/>
      <c r="AR5" s="439">
        <v>2023</v>
      </c>
      <c r="AS5" s="440"/>
      <c r="AT5" s="439">
        <v>2024</v>
      </c>
      <c r="AU5" s="440"/>
      <c r="AV5" s="432"/>
      <c r="AW5" s="433"/>
      <c r="AX5" s="432"/>
      <c r="AY5" s="435"/>
      <c r="AZ5" s="435"/>
      <c r="BA5" s="433"/>
      <c r="BB5" s="437"/>
      <c r="BC5" s="425"/>
      <c r="BD5" s="425"/>
    </row>
    <row r="6" spans="1:57" s="182" customFormat="1" ht="12.75" x14ac:dyDescent="0.25">
      <c r="A6" s="451"/>
      <c r="B6" s="453"/>
      <c r="C6" s="453"/>
      <c r="D6" s="453"/>
      <c r="E6" s="453"/>
      <c r="F6" s="453"/>
      <c r="G6" s="453"/>
      <c r="H6" s="258" t="s">
        <v>7</v>
      </c>
      <c r="I6" s="258" t="s">
        <v>6</v>
      </c>
      <c r="J6" s="258" t="s">
        <v>7</v>
      </c>
      <c r="K6" s="258" t="s">
        <v>6</v>
      </c>
      <c r="L6" s="258" t="s">
        <v>7</v>
      </c>
      <c r="M6" s="258" t="s">
        <v>6</v>
      </c>
      <c r="N6" s="258" t="s">
        <v>7</v>
      </c>
      <c r="O6" s="258" t="s">
        <v>6</v>
      </c>
      <c r="P6" s="258" t="s">
        <v>7</v>
      </c>
      <c r="Q6" s="258" t="s">
        <v>6</v>
      </c>
      <c r="R6" s="258" t="s">
        <v>7</v>
      </c>
      <c r="S6" s="258" t="s">
        <v>6</v>
      </c>
      <c r="T6" s="258" t="s">
        <v>7</v>
      </c>
      <c r="U6" s="258" t="s">
        <v>6</v>
      </c>
      <c r="V6" s="258" t="s">
        <v>7</v>
      </c>
      <c r="W6" s="258" t="s">
        <v>6</v>
      </c>
      <c r="X6" s="258" t="s">
        <v>7</v>
      </c>
      <c r="Y6" s="258" t="s">
        <v>6</v>
      </c>
      <c r="Z6" s="258" t="s">
        <v>7</v>
      </c>
      <c r="AA6" s="258" t="s">
        <v>6</v>
      </c>
      <c r="AB6" s="258" t="s">
        <v>7</v>
      </c>
      <c r="AC6" s="258" t="s">
        <v>6</v>
      </c>
      <c r="AD6" s="258" t="s">
        <v>7</v>
      </c>
      <c r="AE6" s="258" t="s">
        <v>6</v>
      </c>
      <c r="AF6" s="258" t="s">
        <v>7</v>
      </c>
      <c r="AG6" s="258" t="s">
        <v>6</v>
      </c>
      <c r="AH6" s="258" t="s">
        <v>7</v>
      </c>
      <c r="AI6" s="258" t="s">
        <v>6</v>
      </c>
      <c r="AJ6" s="258" t="s">
        <v>7</v>
      </c>
      <c r="AK6" s="258" t="s">
        <v>6</v>
      </c>
      <c r="AL6" s="258" t="s">
        <v>7</v>
      </c>
      <c r="AM6" s="258" t="s">
        <v>6</v>
      </c>
      <c r="AN6" s="258" t="s">
        <v>7</v>
      </c>
      <c r="AO6" s="258" t="s">
        <v>6</v>
      </c>
      <c r="AP6" s="259" t="s">
        <v>7</v>
      </c>
      <c r="AQ6" s="259" t="s">
        <v>6</v>
      </c>
      <c r="AR6" s="259" t="s">
        <v>7</v>
      </c>
      <c r="AS6" s="259" t="s">
        <v>6</v>
      </c>
      <c r="AT6" s="259" t="s">
        <v>7</v>
      </c>
      <c r="AU6" s="259" t="s">
        <v>6</v>
      </c>
      <c r="AV6" s="260" t="s">
        <v>7</v>
      </c>
      <c r="AW6" s="260" t="s">
        <v>6</v>
      </c>
      <c r="AX6" s="260" t="s">
        <v>5</v>
      </c>
      <c r="AY6" s="260" t="s">
        <v>4</v>
      </c>
      <c r="AZ6" s="260" t="s">
        <v>3</v>
      </c>
      <c r="BA6" s="260" t="s">
        <v>2</v>
      </c>
      <c r="BB6" s="438"/>
      <c r="BC6" s="426"/>
      <c r="BD6" s="426"/>
    </row>
    <row r="7" spans="1:57" s="152" customFormat="1" ht="54" x14ac:dyDescent="0.3">
      <c r="A7" s="417" t="s">
        <v>47</v>
      </c>
      <c r="B7" s="418" t="s">
        <v>21</v>
      </c>
      <c r="C7" s="249" t="s">
        <v>197</v>
      </c>
      <c r="D7" s="224">
        <v>1</v>
      </c>
      <c r="E7" s="154" t="s">
        <v>188</v>
      </c>
      <c r="F7" s="188" t="s">
        <v>62</v>
      </c>
      <c r="G7" s="189" t="s">
        <v>63</v>
      </c>
      <c r="H7" s="261">
        <v>0</v>
      </c>
      <c r="I7" s="261">
        <v>0</v>
      </c>
      <c r="J7" s="154">
        <v>0</v>
      </c>
      <c r="K7" s="154">
        <v>0</v>
      </c>
      <c r="L7" s="154">
        <v>0</v>
      </c>
      <c r="M7" s="154">
        <v>0</v>
      </c>
      <c r="N7" s="154">
        <v>1</v>
      </c>
      <c r="O7" s="154">
        <v>1</v>
      </c>
      <c r="P7" s="256">
        <f t="shared" ref="P7:Q16" si="0">SUM(J7,L7,N7)</f>
        <v>1</v>
      </c>
      <c r="Q7" s="256">
        <f t="shared" ref="Q7:Q15" si="1">SUM(K7,M7,O7)</f>
        <v>1</v>
      </c>
      <c r="R7" s="154">
        <v>0</v>
      </c>
      <c r="S7" s="154">
        <v>0</v>
      </c>
      <c r="T7" s="154">
        <v>0</v>
      </c>
      <c r="U7" s="154">
        <v>0</v>
      </c>
      <c r="V7" s="154">
        <v>1</v>
      </c>
      <c r="W7" s="154">
        <v>1</v>
      </c>
      <c r="X7" s="256">
        <f t="shared" ref="X7:Y16" si="2">SUM(R7,T7,V7)</f>
        <v>1</v>
      </c>
      <c r="Y7" s="256">
        <f t="shared" si="2"/>
        <v>1</v>
      </c>
      <c r="Z7" s="154">
        <v>0</v>
      </c>
      <c r="AA7" s="154"/>
      <c r="AB7" s="154">
        <v>1</v>
      </c>
      <c r="AC7" s="154"/>
      <c r="AD7" s="154">
        <v>0</v>
      </c>
      <c r="AE7" s="154"/>
      <c r="AF7" s="256">
        <f t="shared" ref="AF7:AG16" si="3">SUM(Z7,AB7,AD7)</f>
        <v>1</v>
      </c>
      <c r="AG7" s="256">
        <f t="shared" si="3"/>
        <v>0</v>
      </c>
      <c r="AH7" s="154">
        <v>1</v>
      </c>
      <c r="AI7" s="154"/>
      <c r="AJ7" s="154">
        <v>0</v>
      </c>
      <c r="AK7" s="154"/>
      <c r="AL7" s="154">
        <v>0</v>
      </c>
      <c r="AM7" s="154"/>
      <c r="AN7" s="256">
        <f t="shared" ref="AN7:AO16" si="4">SUM(AH7,AJ7,AL7)</f>
        <v>1</v>
      </c>
      <c r="AO7" s="256">
        <f t="shared" si="4"/>
        <v>0</v>
      </c>
      <c r="AP7" s="158">
        <v>4</v>
      </c>
      <c r="AQ7" s="158"/>
      <c r="AR7" s="158">
        <v>4</v>
      </c>
      <c r="AS7" s="158"/>
      <c r="AT7" s="158">
        <v>4</v>
      </c>
      <c r="AU7" s="158"/>
      <c r="AV7" s="257">
        <f>SUM(P7,X7,AF7,AN7)</f>
        <v>4</v>
      </c>
      <c r="AW7" s="257">
        <f t="shared" ref="AW7:AW16" si="5">SUM(Q7,Y7,AG7,AO7)</f>
        <v>2</v>
      </c>
      <c r="AX7" s="226">
        <f t="shared" ref="AX7:AX16" si="6">IFERROR(Q7/P7,"")</f>
        <v>1</v>
      </c>
      <c r="AY7" s="226">
        <f t="shared" ref="AY7:AY16" si="7">IFERROR((Q7+Y7)/(P7+X7),"")</f>
        <v>1</v>
      </c>
      <c r="AZ7" s="226">
        <f t="shared" ref="AZ7:AZ16" si="8">IFERROR((Q7+Y7+AG7)/(P7+X7+AF7),"")</f>
        <v>0.66666666666666663</v>
      </c>
      <c r="BA7" s="226">
        <f t="shared" ref="BA7:BA16" si="9">IFERROR((Q7+Y7+AG7+AO7)/(P7+X7+AF7+AN7),"")</f>
        <v>0.5</v>
      </c>
      <c r="BB7" s="254">
        <f t="shared" ref="BB7:BB16" si="10">IFERROR(AW7/AV7,"")</f>
        <v>0.5</v>
      </c>
      <c r="BC7" s="185" t="s">
        <v>159</v>
      </c>
      <c r="BD7" s="414">
        <f>BB7+BB8/2</f>
        <v>0.5</v>
      </c>
    </row>
    <row r="8" spans="1:57" s="152" customFormat="1" ht="94.5" x14ac:dyDescent="0.3">
      <c r="A8" s="417"/>
      <c r="B8" s="419"/>
      <c r="C8" s="249" t="s">
        <v>67</v>
      </c>
      <c r="D8" s="224">
        <v>1</v>
      </c>
      <c r="E8" s="154" t="s">
        <v>189</v>
      </c>
      <c r="F8" s="190" t="s">
        <v>109</v>
      </c>
      <c r="G8" s="191" t="s">
        <v>64</v>
      </c>
      <c r="H8" s="261">
        <v>0</v>
      </c>
      <c r="I8" s="261">
        <v>0</v>
      </c>
      <c r="J8" s="154">
        <v>0</v>
      </c>
      <c r="K8" s="154">
        <v>0</v>
      </c>
      <c r="L8" s="154">
        <v>0</v>
      </c>
      <c r="M8" s="154">
        <v>0</v>
      </c>
      <c r="N8" s="154">
        <v>0</v>
      </c>
      <c r="O8" s="154">
        <v>0</v>
      </c>
      <c r="P8" s="256">
        <f t="shared" si="0"/>
        <v>0</v>
      </c>
      <c r="Q8" s="256">
        <f t="shared" si="1"/>
        <v>0</v>
      </c>
      <c r="R8" s="154">
        <v>0</v>
      </c>
      <c r="S8" s="154">
        <v>0</v>
      </c>
      <c r="T8" s="154">
        <v>0</v>
      </c>
      <c r="U8" s="154">
        <v>0</v>
      </c>
      <c r="V8" s="159">
        <v>1</v>
      </c>
      <c r="W8" s="159">
        <v>0</v>
      </c>
      <c r="X8" s="256">
        <f t="shared" si="2"/>
        <v>1</v>
      </c>
      <c r="Y8" s="256">
        <f t="shared" si="2"/>
        <v>0</v>
      </c>
      <c r="Z8" s="154">
        <v>0</v>
      </c>
      <c r="AA8" s="160"/>
      <c r="AB8" s="159">
        <v>0</v>
      </c>
      <c r="AC8" s="160"/>
      <c r="AD8" s="159">
        <v>1</v>
      </c>
      <c r="AE8" s="160"/>
      <c r="AF8" s="256">
        <f t="shared" si="3"/>
        <v>1</v>
      </c>
      <c r="AG8" s="256">
        <f t="shared" si="3"/>
        <v>0</v>
      </c>
      <c r="AH8" s="159">
        <v>0</v>
      </c>
      <c r="AI8" s="160"/>
      <c r="AJ8" s="159">
        <v>0</v>
      </c>
      <c r="AK8" s="160"/>
      <c r="AL8" s="159">
        <v>0</v>
      </c>
      <c r="AM8" s="160"/>
      <c r="AN8" s="256">
        <f t="shared" si="4"/>
        <v>0</v>
      </c>
      <c r="AO8" s="256">
        <f t="shared" si="4"/>
        <v>0</v>
      </c>
      <c r="AP8" s="161">
        <v>2</v>
      </c>
      <c r="AQ8" s="161"/>
      <c r="AR8" s="161">
        <v>2</v>
      </c>
      <c r="AS8" s="161"/>
      <c r="AT8" s="161">
        <v>2</v>
      </c>
      <c r="AU8" s="161"/>
      <c r="AV8" s="257">
        <f t="shared" ref="AV8:AV16" si="11">SUM(P8,X8,AF8,AN8)</f>
        <v>2</v>
      </c>
      <c r="AW8" s="257">
        <f t="shared" si="5"/>
        <v>0</v>
      </c>
      <c r="AX8" s="226" t="str">
        <f t="shared" si="6"/>
        <v/>
      </c>
      <c r="AY8" s="226">
        <f t="shared" si="7"/>
        <v>0</v>
      </c>
      <c r="AZ8" s="226">
        <f t="shared" si="8"/>
        <v>0</v>
      </c>
      <c r="BA8" s="226">
        <f t="shared" si="9"/>
        <v>0</v>
      </c>
      <c r="BB8" s="254">
        <f t="shared" si="10"/>
        <v>0</v>
      </c>
      <c r="BC8" s="185" t="s">
        <v>158</v>
      </c>
      <c r="BD8" s="416"/>
    </row>
    <row r="9" spans="1:57" s="152" customFormat="1" ht="67.5" x14ac:dyDescent="0.3">
      <c r="A9" s="417" t="s">
        <v>48</v>
      </c>
      <c r="B9" s="418" t="s">
        <v>24</v>
      </c>
      <c r="C9" s="249" t="s">
        <v>86</v>
      </c>
      <c r="D9" s="224">
        <v>0.3</v>
      </c>
      <c r="E9" s="154" t="s">
        <v>190</v>
      </c>
      <c r="F9" s="190" t="s">
        <v>87</v>
      </c>
      <c r="G9" s="191" t="s">
        <v>88</v>
      </c>
      <c r="H9" s="262">
        <v>0</v>
      </c>
      <c r="I9" s="262">
        <v>0</v>
      </c>
      <c r="J9" s="227">
        <f t="shared" ref="J9:O9" si="12">1/12</f>
        <v>8.3333333333333329E-2</v>
      </c>
      <c r="K9" s="227">
        <f t="shared" si="12"/>
        <v>8.3333333333333329E-2</v>
      </c>
      <c r="L9" s="227">
        <f t="shared" si="12"/>
        <v>8.3333333333333329E-2</v>
      </c>
      <c r="M9" s="227">
        <f t="shared" si="12"/>
        <v>8.3333333333333329E-2</v>
      </c>
      <c r="N9" s="227">
        <f t="shared" si="12"/>
        <v>8.3333333333333329E-2</v>
      </c>
      <c r="O9" s="227">
        <f t="shared" si="12"/>
        <v>8.3333333333333329E-2</v>
      </c>
      <c r="P9" s="263">
        <f t="shared" si="0"/>
        <v>0.25</v>
      </c>
      <c r="Q9" s="263">
        <f t="shared" si="1"/>
        <v>0.25</v>
      </c>
      <c r="R9" s="227">
        <f t="shared" ref="R9:W9" si="13">1/12</f>
        <v>8.3333333333333329E-2</v>
      </c>
      <c r="S9" s="227">
        <f t="shared" si="13"/>
        <v>8.3333333333333329E-2</v>
      </c>
      <c r="T9" s="227">
        <f t="shared" si="13"/>
        <v>8.3333333333333329E-2</v>
      </c>
      <c r="U9" s="227">
        <f t="shared" si="13"/>
        <v>8.3333333333333329E-2</v>
      </c>
      <c r="V9" s="227">
        <f t="shared" si="13"/>
        <v>8.3333333333333329E-2</v>
      </c>
      <c r="W9" s="227">
        <f t="shared" si="13"/>
        <v>8.3333333333333329E-2</v>
      </c>
      <c r="X9" s="263">
        <f t="shared" si="2"/>
        <v>0.25</v>
      </c>
      <c r="Y9" s="263">
        <f t="shared" si="2"/>
        <v>0.25</v>
      </c>
      <c r="Z9" s="227">
        <f>1/12</f>
        <v>8.3333333333333329E-2</v>
      </c>
      <c r="AA9" s="204"/>
      <c r="AB9" s="227">
        <f>1/12</f>
        <v>8.3333333333333329E-2</v>
      </c>
      <c r="AC9" s="204"/>
      <c r="AD9" s="227">
        <f>1/12</f>
        <v>8.3333333333333329E-2</v>
      </c>
      <c r="AE9" s="204"/>
      <c r="AF9" s="263">
        <f t="shared" si="3"/>
        <v>0.25</v>
      </c>
      <c r="AG9" s="263">
        <f t="shared" si="3"/>
        <v>0</v>
      </c>
      <c r="AH9" s="227">
        <f>1/12</f>
        <v>8.3333333333333329E-2</v>
      </c>
      <c r="AI9" s="204"/>
      <c r="AJ9" s="227">
        <f>1/12</f>
        <v>8.3333333333333329E-2</v>
      </c>
      <c r="AK9" s="204"/>
      <c r="AL9" s="227">
        <f>1/12</f>
        <v>8.3333333333333329E-2</v>
      </c>
      <c r="AM9" s="221"/>
      <c r="AN9" s="256">
        <f t="shared" si="4"/>
        <v>0.25</v>
      </c>
      <c r="AO9" s="256">
        <f t="shared" si="4"/>
        <v>0</v>
      </c>
      <c r="AP9" s="231">
        <f>100/100</f>
        <v>1</v>
      </c>
      <c r="AQ9" s="161"/>
      <c r="AR9" s="231">
        <f>100/100</f>
        <v>1</v>
      </c>
      <c r="AS9" s="161"/>
      <c r="AT9" s="231">
        <f>100/100</f>
        <v>1</v>
      </c>
      <c r="AU9" s="161"/>
      <c r="AV9" s="224">
        <f>SUM(P9,X9,AF9,AN9)</f>
        <v>1</v>
      </c>
      <c r="AW9" s="224">
        <f>SUM(Q9,Y9,AG9,AO9)</f>
        <v>0.5</v>
      </c>
      <c r="AX9" s="226">
        <f t="shared" si="6"/>
        <v>1</v>
      </c>
      <c r="AY9" s="226">
        <f t="shared" si="7"/>
        <v>1</v>
      </c>
      <c r="AZ9" s="226">
        <f t="shared" si="8"/>
        <v>0.66666666666666663</v>
      </c>
      <c r="BA9" s="226">
        <f t="shared" si="9"/>
        <v>0.5</v>
      </c>
      <c r="BB9" s="254">
        <f t="shared" si="10"/>
        <v>0.5</v>
      </c>
      <c r="BC9" s="185" t="s">
        <v>181</v>
      </c>
      <c r="BD9" s="414">
        <f>BB9+BB10/2</f>
        <v>0.7647222222222223</v>
      </c>
    </row>
    <row r="10" spans="1:57" s="152" customFormat="1" ht="81" x14ac:dyDescent="0.3">
      <c r="A10" s="417"/>
      <c r="B10" s="419"/>
      <c r="C10" s="249" t="s">
        <v>25</v>
      </c>
      <c r="D10" s="224">
        <v>0.7</v>
      </c>
      <c r="E10" s="154" t="s">
        <v>191</v>
      </c>
      <c r="F10" s="190" t="s">
        <v>85</v>
      </c>
      <c r="G10" s="191" t="s">
        <v>90</v>
      </c>
      <c r="H10" s="255">
        <v>0</v>
      </c>
      <c r="I10" s="255">
        <v>0</v>
      </c>
      <c r="J10" s="198">
        <v>1</v>
      </c>
      <c r="K10" s="198">
        <v>1</v>
      </c>
      <c r="L10" s="198">
        <v>1</v>
      </c>
      <c r="M10" s="198">
        <v>1</v>
      </c>
      <c r="N10" s="198">
        <v>1</v>
      </c>
      <c r="O10" s="198">
        <v>1</v>
      </c>
      <c r="P10" s="264">
        <f t="shared" si="0"/>
        <v>3</v>
      </c>
      <c r="Q10" s="264">
        <f t="shared" si="1"/>
        <v>3</v>
      </c>
      <c r="R10" s="198">
        <v>1</v>
      </c>
      <c r="S10" s="198">
        <v>1</v>
      </c>
      <c r="T10" s="198">
        <v>1</v>
      </c>
      <c r="U10" s="198">
        <v>1</v>
      </c>
      <c r="V10" s="198">
        <v>1</v>
      </c>
      <c r="W10" s="198">
        <v>1</v>
      </c>
      <c r="X10" s="264">
        <f t="shared" si="2"/>
        <v>3</v>
      </c>
      <c r="Y10" s="264">
        <f t="shared" si="2"/>
        <v>3</v>
      </c>
      <c r="Z10" s="198">
        <v>1</v>
      </c>
      <c r="AA10" s="198">
        <v>0.01</v>
      </c>
      <c r="AB10" s="198">
        <v>1</v>
      </c>
      <c r="AC10" s="198">
        <f>1/12</f>
        <v>8.3333333333333329E-2</v>
      </c>
      <c r="AD10" s="198">
        <v>1</v>
      </c>
      <c r="AE10" s="198">
        <f>1/12</f>
        <v>8.3333333333333329E-2</v>
      </c>
      <c r="AF10" s="264">
        <f t="shared" si="3"/>
        <v>3</v>
      </c>
      <c r="AG10" s="264">
        <f t="shared" si="3"/>
        <v>0.17666666666666664</v>
      </c>
      <c r="AH10" s="198">
        <v>1</v>
      </c>
      <c r="AI10" s="198">
        <v>0.01</v>
      </c>
      <c r="AJ10" s="198">
        <v>1</v>
      </c>
      <c r="AK10" s="198">
        <f>1/12</f>
        <v>8.3333333333333329E-2</v>
      </c>
      <c r="AL10" s="198">
        <v>1</v>
      </c>
      <c r="AM10" s="198">
        <f>1/12</f>
        <v>8.3333333333333329E-2</v>
      </c>
      <c r="AN10" s="264">
        <f t="shared" si="4"/>
        <v>3</v>
      </c>
      <c r="AO10" s="264">
        <f t="shared" si="4"/>
        <v>0.17666666666666664</v>
      </c>
      <c r="AP10" s="247">
        <v>1</v>
      </c>
      <c r="AQ10" s="248"/>
      <c r="AR10" s="247">
        <v>2</v>
      </c>
      <c r="AS10" s="247"/>
      <c r="AT10" s="247">
        <v>2</v>
      </c>
      <c r="AU10" s="248"/>
      <c r="AV10" s="198">
        <f>SUM(P10,X10,AF10,AN10)</f>
        <v>12</v>
      </c>
      <c r="AW10" s="198">
        <f t="shared" si="5"/>
        <v>6.3533333333333335</v>
      </c>
      <c r="AX10" s="226">
        <f t="shared" si="6"/>
        <v>1</v>
      </c>
      <c r="AY10" s="226">
        <f t="shared" si="7"/>
        <v>1</v>
      </c>
      <c r="AZ10" s="226">
        <f t="shared" si="8"/>
        <v>0.68629629629629629</v>
      </c>
      <c r="BA10" s="226">
        <f t="shared" si="9"/>
        <v>0.5294444444444445</v>
      </c>
      <c r="BB10" s="254">
        <f t="shared" si="10"/>
        <v>0.5294444444444445</v>
      </c>
      <c r="BC10" s="185" t="s">
        <v>182</v>
      </c>
      <c r="BD10" s="416"/>
    </row>
    <row r="11" spans="1:57" s="152" customFormat="1" ht="40.5" x14ac:dyDescent="0.3">
      <c r="A11" s="417" t="s">
        <v>93</v>
      </c>
      <c r="B11" s="418" t="s">
        <v>0</v>
      </c>
      <c r="C11" s="249" t="s">
        <v>95</v>
      </c>
      <c r="D11" s="224">
        <v>0.35</v>
      </c>
      <c r="E11" s="154" t="s">
        <v>192</v>
      </c>
      <c r="F11" s="250" t="s">
        <v>97</v>
      </c>
      <c r="G11" s="250" t="s">
        <v>96</v>
      </c>
      <c r="H11" s="203">
        <v>200</v>
      </c>
      <c r="I11" s="203">
        <v>200</v>
      </c>
      <c r="J11" s="251">
        <v>65</v>
      </c>
      <c r="K11" s="251">
        <v>72</v>
      </c>
      <c r="L11" s="251">
        <v>75</v>
      </c>
      <c r="M11" s="251">
        <v>62</v>
      </c>
      <c r="N11" s="251">
        <v>62</v>
      </c>
      <c r="O11" s="251">
        <v>87</v>
      </c>
      <c r="P11" s="252">
        <f>AVERAGE(J11,L11,N11)</f>
        <v>67.333333333333329</v>
      </c>
      <c r="Q11" s="252">
        <f t="shared" ref="Q11" si="14">IFERROR(AVERAGE(K11,M11,O11),"")</f>
        <v>73.666666666666671</v>
      </c>
      <c r="R11" s="251">
        <v>68</v>
      </c>
      <c r="S11" s="251">
        <v>76</v>
      </c>
      <c r="T11" s="251">
        <v>71</v>
      </c>
      <c r="U11" s="251">
        <v>115</v>
      </c>
      <c r="V11" s="251">
        <v>46</v>
      </c>
      <c r="W11" s="251">
        <v>46</v>
      </c>
      <c r="X11" s="252">
        <f>AVERAGE(R11,T11,V11)</f>
        <v>61.666666666666664</v>
      </c>
      <c r="Y11" s="252">
        <f t="shared" ref="Y11" si="15">IFERROR(AVERAGE(S11,U11,W11),"")</f>
        <v>79</v>
      </c>
      <c r="Z11" s="251">
        <v>0</v>
      </c>
      <c r="AA11" s="253">
        <v>0</v>
      </c>
      <c r="AB11" s="251">
        <v>0</v>
      </c>
      <c r="AC11" s="253">
        <v>0</v>
      </c>
      <c r="AD11" s="251">
        <v>0</v>
      </c>
      <c r="AE11" s="253">
        <v>0</v>
      </c>
      <c r="AF11" s="252">
        <f t="shared" ref="AF11" si="16">AVERAGE(Z11,AB11,AD11)</f>
        <v>0</v>
      </c>
      <c r="AG11" s="252">
        <f t="shared" ref="AG11" si="17">IFERROR(AVERAGE(AA11,AC11,AE11),"")</f>
        <v>0</v>
      </c>
      <c r="AH11" s="251">
        <v>0</v>
      </c>
      <c r="AI11" s="253">
        <v>0</v>
      </c>
      <c r="AJ11" s="251">
        <v>0</v>
      </c>
      <c r="AK11" s="253">
        <v>0</v>
      </c>
      <c r="AL11" s="251">
        <v>0</v>
      </c>
      <c r="AM11" s="253">
        <v>0</v>
      </c>
      <c r="AN11" s="252">
        <f t="shared" ref="AN11" si="18">AVERAGE(AH11,AJ11,AL11)</f>
        <v>0</v>
      </c>
      <c r="AO11" s="252">
        <f t="shared" ref="AO11" si="19">IFERROR(AVERAGE(AI11,AK11,AM11),"")</f>
        <v>0</v>
      </c>
      <c r="AP11" s="203">
        <v>200</v>
      </c>
      <c r="AQ11" s="159"/>
      <c r="AR11" s="159">
        <v>200</v>
      </c>
      <c r="AS11" s="159"/>
      <c r="AT11" s="159">
        <v>200</v>
      </c>
      <c r="AU11" s="159"/>
      <c r="AV11" s="197">
        <f>AVERAGE(P11,X11,AF11,AN11)</f>
        <v>32.25</v>
      </c>
      <c r="AW11" s="197">
        <f>AVERAGE(Q11,Y11,AG11,AO11)</f>
        <v>38.166666666666671</v>
      </c>
      <c r="AX11" s="226">
        <f t="shared" si="6"/>
        <v>1.0940594059405941</v>
      </c>
      <c r="AY11" s="226">
        <f t="shared" si="7"/>
        <v>1.1834625322997419</v>
      </c>
      <c r="AZ11" s="226">
        <f t="shared" si="8"/>
        <v>1.1834625322997419</v>
      </c>
      <c r="BA11" s="226">
        <f t="shared" si="9"/>
        <v>1.1834625322997419</v>
      </c>
      <c r="BB11" s="254">
        <f t="shared" si="10"/>
        <v>1.1834625322997419</v>
      </c>
      <c r="BC11" s="185" t="s">
        <v>183</v>
      </c>
      <c r="BD11" s="414">
        <f xml:space="preserve"> AVERAGE(BB11:BB13)</f>
        <v>0.50559862187769167</v>
      </c>
    </row>
    <row r="12" spans="1:57" s="152" customFormat="1" ht="81" x14ac:dyDescent="0.3">
      <c r="A12" s="417"/>
      <c r="B12" s="423"/>
      <c r="C12" s="249" t="s">
        <v>75</v>
      </c>
      <c r="D12" s="224">
        <v>0.35</v>
      </c>
      <c r="E12" s="154" t="s">
        <v>193</v>
      </c>
      <c r="F12" s="250" t="s">
        <v>98</v>
      </c>
      <c r="G12" s="250" t="s">
        <v>99</v>
      </c>
      <c r="H12" s="203">
        <v>100</v>
      </c>
      <c r="I12" s="255">
        <v>0</v>
      </c>
      <c r="J12" s="154">
        <v>0</v>
      </c>
      <c r="K12" s="154">
        <v>0</v>
      </c>
      <c r="L12" s="154">
        <v>0</v>
      </c>
      <c r="M12" s="154">
        <v>0</v>
      </c>
      <c r="N12" s="154">
        <v>0</v>
      </c>
      <c r="O12" s="154">
        <v>0</v>
      </c>
      <c r="P12" s="256">
        <f t="shared" si="0"/>
        <v>0</v>
      </c>
      <c r="Q12" s="256">
        <f t="shared" si="1"/>
        <v>0</v>
      </c>
      <c r="R12" s="154">
        <v>0</v>
      </c>
      <c r="S12" s="154">
        <v>0</v>
      </c>
      <c r="T12" s="154">
        <v>1</v>
      </c>
      <c r="U12" s="154">
        <v>1</v>
      </c>
      <c r="V12" s="154">
        <v>0</v>
      </c>
      <c r="W12" s="154">
        <v>0</v>
      </c>
      <c r="X12" s="256">
        <f t="shared" si="2"/>
        <v>1</v>
      </c>
      <c r="Y12" s="256">
        <f t="shared" si="2"/>
        <v>1</v>
      </c>
      <c r="Z12" s="159">
        <v>0</v>
      </c>
      <c r="AA12" s="159"/>
      <c r="AB12" s="159">
        <v>0</v>
      </c>
      <c r="AC12" s="159"/>
      <c r="AD12" s="159">
        <v>0</v>
      </c>
      <c r="AE12" s="159"/>
      <c r="AF12" s="256">
        <f t="shared" si="3"/>
        <v>0</v>
      </c>
      <c r="AG12" s="256">
        <f t="shared" si="3"/>
        <v>0</v>
      </c>
      <c r="AH12" s="159">
        <v>0</v>
      </c>
      <c r="AI12" s="159"/>
      <c r="AJ12" s="159">
        <v>0</v>
      </c>
      <c r="AK12" s="159"/>
      <c r="AL12" s="159">
        <v>2</v>
      </c>
      <c r="AM12" s="159"/>
      <c r="AN12" s="256">
        <f t="shared" si="4"/>
        <v>2</v>
      </c>
      <c r="AO12" s="256">
        <f t="shared" si="4"/>
        <v>0</v>
      </c>
      <c r="AP12" s="159">
        <v>2</v>
      </c>
      <c r="AQ12" s="159"/>
      <c r="AR12" s="159">
        <v>2</v>
      </c>
      <c r="AS12" s="159"/>
      <c r="AT12" s="159">
        <v>1</v>
      </c>
      <c r="AU12" s="159"/>
      <c r="AV12" s="257">
        <f>SUM(P12,X12,AF12,AN12)</f>
        <v>3</v>
      </c>
      <c r="AW12" s="257">
        <f>SUM(Q12,Y12,AG12,AO12)</f>
        <v>1</v>
      </c>
      <c r="AX12" s="226" t="str">
        <f t="shared" si="6"/>
        <v/>
      </c>
      <c r="AY12" s="226">
        <f>IFERROR((Q12+Y12)/(P12+X12),"")</f>
        <v>1</v>
      </c>
      <c r="AZ12" s="226">
        <f t="shared" si="8"/>
        <v>1</v>
      </c>
      <c r="BA12" s="226">
        <f t="shared" si="9"/>
        <v>0.33333333333333331</v>
      </c>
      <c r="BB12" s="254">
        <f t="shared" si="10"/>
        <v>0.33333333333333331</v>
      </c>
      <c r="BC12" s="185" t="s">
        <v>179</v>
      </c>
      <c r="BD12" s="415"/>
    </row>
    <row r="13" spans="1:57" s="152" customFormat="1" ht="67.5" x14ac:dyDescent="0.3">
      <c r="A13" s="417"/>
      <c r="B13" s="419"/>
      <c r="C13" s="249" t="s">
        <v>100</v>
      </c>
      <c r="D13" s="224">
        <v>0.3</v>
      </c>
      <c r="E13" s="154" t="s">
        <v>194</v>
      </c>
      <c r="F13" s="250" t="s">
        <v>101</v>
      </c>
      <c r="G13" s="250" t="s">
        <v>102</v>
      </c>
      <c r="H13" s="203">
        <v>145</v>
      </c>
      <c r="I13" s="203">
        <v>145</v>
      </c>
      <c r="J13" s="154">
        <v>0</v>
      </c>
      <c r="K13" s="154">
        <v>0</v>
      </c>
      <c r="L13" s="154">
        <v>0</v>
      </c>
      <c r="M13" s="154">
        <v>0</v>
      </c>
      <c r="N13" s="154">
        <v>0</v>
      </c>
      <c r="O13" s="154">
        <v>0</v>
      </c>
      <c r="P13" s="256">
        <f t="shared" si="0"/>
        <v>0</v>
      </c>
      <c r="Q13" s="256">
        <f t="shared" si="1"/>
        <v>0</v>
      </c>
      <c r="R13" s="154">
        <v>0</v>
      </c>
      <c r="S13" s="154">
        <v>0</v>
      </c>
      <c r="T13" s="154">
        <v>0</v>
      </c>
      <c r="U13" s="154">
        <v>0</v>
      </c>
      <c r="V13" s="154">
        <v>30</v>
      </c>
      <c r="W13" s="154">
        <v>0</v>
      </c>
      <c r="X13" s="256">
        <f>SUM(R13,T13,V13)</f>
        <v>30</v>
      </c>
      <c r="Y13" s="256">
        <f t="shared" si="2"/>
        <v>0</v>
      </c>
      <c r="Z13" s="154">
        <v>30</v>
      </c>
      <c r="AA13" s="154"/>
      <c r="AB13" s="154">
        <v>35</v>
      </c>
      <c r="AC13" s="154"/>
      <c r="AD13" s="154">
        <v>35</v>
      </c>
      <c r="AE13" s="154"/>
      <c r="AF13" s="256">
        <f>SUM(Z13,AB13,AD13)</f>
        <v>100</v>
      </c>
      <c r="AG13" s="256">
        <f t="shared" si="3"/>
        <v>0</v>
      </c>
      <c r="AH13" s="154">
        <v>30</v>
      </c>
      <c r="AI13" s="154"/>
      <c r="AJ13" s="154">
        <v>30</v>
      </c>
      <c r="AK13" s="154"/>
      <c r="AL13" s="154">
        <v>10</v>
      </c>
      <c r="AM13" s="154"/>
      <c r="AN13" s="256">
        <f t="shared" si="4"/>
        <v>70</v>
      </c>
      <c r="AO13" s="256">
        <f t="shared" si="4"/>
        <v>0</v>
      </c>
      <c r="AP13" s="159">
        <v>200</v>
      </c>
      <c r="AQ13" s="159"/>
      <c r="AR13" s="159">
        <v>200</v>
      </c>
      <c r="AS13" s="159"/>
      <c r="AT13" s="159">
        <v>0</v>
      </c>
      <c r="AU13" s="159"/>
      <c r="AV13" s="257">
        <f>SUM(P13,X13,AF13,AN13)</f>
        <v>200</v>
      </c>
      <c r="AW13" s="257">
        <f>SUM(Q13,Y13,AG13,AO13)</f>
        <v>0</v>
      </c>
      <c r="AX13" s="226" t="str">
        <f t="shared" si="6"/>
        <v/>
      </c>
      <c r="AY13" s="226">
        <f t="shared" si="7"/>
        <v>0</v>
      </c>
      <c r="AZ13" s="226">
        <f t="shared" si="8"/>
        <v>0</v>
      </c>
      <c r="BA13" s="226">
        <f t="shared" si="9"/>
        <v>0</v>
      </c>
      <c r="BB13" s="254">
        <f t="shared" si="10"/>
        <v>0</v>
      </c>
      <c r="BC13" s="185" t="s">
        <v>180</v>
      </c>
      <c r="BD13" s="416"/>
    </row>
    <row r="14" spans="1:57" s="152" customFormat="1" ht="148.5" x14ac:dyDescent="0.3">
      <c r="A14" s="176" t="s">
        <v>176</v>
      </c>
      <c r="B14" s="175" t="s">
        <v>175</v>
      </c>
      <c r="C14" s="164" t="s">
        <v>27</v>
      </c>
      <c r="D14" s="165">
        <v>0.4</v>
      </c>
      <c r="E14" s="165" t="s">
        <v>40</v>
      </c>
      <c r="F14" s="192" t="s">
        <v>123</v>
      </c>
      <c r="G14" s="192" t="s">
        <v>122</v>
      </c>
      <c r="H14" s="217">
        <v>0</v>
      </c>
      <c r="I14" s="217">
        <v>0</v>
      </c>
      <c r="J14" s="224">
        <f>100/100</f>
        <v>1</v>
      </c>
      <c r="K14" s="224">
        <f t="shared" ref="K14:O14" si="20">100/100</f>
        <v>1</v>
      </c>
      <c r="L14" s="224">
        <f t="shared" si="20"/>
        <v>1</v>
      </c>
      <c r="M14" s="224">
        <f t="shared" si="20"/>
        <v>1</v>
      </c>
      <c r="N14" s="224">
        <f t="shared" si="20"/>
        <v>1</v>
      </c>
      <c r="O14" s="224">
        <f t="shared" si="20"/>
        <v>1</v>
      </c>
      <c r="P14" s="225">
        <f>AVERAGE(J14,L14,N14)</f>
        <v>1</v>
      </c>
      <c r="Q14" s="225">
        <f t="shared" ref="Q14" si="21">IFERROR(AVERAGE(K14,M14,O14),"")</f>
        <v>1</v>
      </c>
      <c r="R14" s="224">
        <f>100/100</f>
        <v>1</v>
      </c>
      <c r="S14" s="224">
        <f t="shared" ref="S14:W14" si="22">100/100</f>
        <v>1</v>
      </c>
      <c r="T14" s="224">
        <f t="shared" si="22"/>
        <v>1</v>
      </c>
      <c r="U14" s="224">
        <f t="shared" si="22"/>
        <v>1</v>
      </c>
      <c r="V14" s="224">
        <f t="shared" si="22"/>
        <v>1</v>
      </c>
      <c r="W14" s="224">
        <f t="shared" si="22"/>
        <v>1</v>
      </c>
      <c r="X14" s="225">
        <f>AVERAGE(R14,T14,V14)</f>
        <v>1</v>
      </c>
      <c r="Y14" s="225">
        <f t="shared" ref="Y14" si="23">IFERROR(AVERAGE(S14,U14,W14),"")</f>
        <v>1</v>
      </c>
      <c r="Z14" s="224">
        <f>100/100</f>
        <v>1</v>
      </c>
      <c r="AA14" s="224">
        <v>0</v>
      </c>
      <c r="AB14" s="224">
        <f>100/100</f>
        <v>1</v>
      </c>
      <c r="AC14" s="224">
        <v>0</v>
      </c>
      <c r="AD14" s="224">
        <f>100/100</f>
        <v>1</v>
      </c>
      <c r="AE14" s="224">
        <v>0</v>
      </c>
      <c r="AF14" s="225">
        <f>AVERAGE(Z14,AB14,AD14)</f>
        <v>1</v>
      </c>
      <c r="AG14" s="225">
        <f t="shared" ref="AG14" si="24">IFERROR(AVERAGE(AA14,AC14,AE14),"")</f>
        <v>0</v>
      </c>
      <c r="AH14" s="224">
        <f>100/100</f>
        <v>1</v>
      </c>
      <c r="AI14" s="224">
        <v>0</v>
      </c>
      <c r="AJ14" s="224">
        <f>100/100</f>
        <v>1</v>
      </c>
      <c r="AK14" s="224">
        <v>0</v>
      </c>
      <c r="AL14" s="224">
        <f>100/100</f>
        <v>1</v>
      </c>
      <c r="AM14" s="224">
        <v>0</v>
      </c>
      <c r="AN14" s="225">
        <f>AVERAGE(AH14,AJ14,AL14)</f>
        <v>1</v>
      </c>
      <c r="AO14" s="225">
        <f t="shared" ref="AO14" si="25">IFERROR(AVERAGE(AI14,AK14,AM14),"")</f>
        <v>0</v>
      </c>
      <c r="AP14" s="159"/>
      <c r="AQ14" s="159"/>
      <c r="AR14" s="159"/>
      <c r="AS14" s="159"/>
      <c r="AT14" s="159"/>
      <c r="AU14" s="159"/>
      <c r="AV14" s="233">
        <f>AVERAGE(P14,X14,AF14,AN14)</f>
        <v>1</v>
      </c>
      <c r="AW14" s="233">
        <f t="shared" ref="AW14:BA14" si="26">AVERAGE(Q14,Y14,AG14,AO14)</f>
        <v>0.5</v>
      </c>
      <c r="AX14" s="234">
        <f t="shared" si="6"/>
        <v>1</v>
      </c>
      <c r="AY14" s="233">
        <f t="shared" si="26"/>
        <v>0.33333333333333331</v>
      </c>
      <c r="AZ14" s="233">
        <f t="shared" si="26"/>
        <v>1</v>
      </c>
      <c r="BA14" s="233">
        <f t="shared" si="26"/>
        <v>0.33333333333333331</v>
      </c>
      <c r="BB14" s="228">
        <f t="shared" si="10"/>
        <v>0.5</v>
      </c>
      <c r="BC14" s="185" t="s">
        <v>178</v>
      </c>
      <c r="BD14" s="174">
        <f xml:space="preserve"> BB14</f>
        <v>0.5</v>
      </c>
    </row>
    <row r="15" spans="1:57" s="152" customFormat="1" ht="135" x14ac:dyDescent="0.3">
      <c r="A15" s="166" t="s">
        <v>50</v>
      </c>
      <c r="B15" s="167" t="s">
        <v>76</v>
      </c>
      <c r="C15" s="167" t="s">
        <v>77</v>
      </c>
      <c r="D15" s="168">
        <v>1</v>
      </c>
      <c r="E15" s="169" t="s">
        <v>195</v>
      </c>
      <c r="F15" s="183" t="s">
        <v>73</v>
      </c>
      <c r="G15" s="184" t="s">
        <v>74</v>
      </c>
      <c r="H15" s="218">
        <v>0</v>
      </c>
      <c r="I15" s="218">
        <v>0</v>
      </c>
      <c r="J15" s="198">
        <v>0</v>
      </c>
      <c r="K15" s="198">
        <v>0</v>
      </c>
      <c r="L15" s="198">
        <v>0</v>
      </c>
      <c r="M15" s="198">
        <v>0</v>
      </c>
      <c r="N15" s="198">
        <v>0</v>
      </c>
      <c r="O15" s="198">
        <v>0</v>
      </c>
      <c r="P15" s="199">
        <f t="shared" si="0"/>
        <v>0</v>
      </c>
      <c r="Q15" s="199">
        <f t="shared" si="1"/>
        <v>0</v>
      </c>
      <c r="R15" s="224">
        <v>0</v>
      </c>
      <c r="S15" s="224">
        <v>0</v>
      </c>
      <c r="T15" s="224">
        <v>0</v>
      </c>
      <c r="U15" s="224">
        <v>0</v>
      </c>
      <c r="V15" s="224">
        <v>0</v>
      </c>
      <c r="W15" s="224">
        <v>0</v>
      </c>
      <c r="X15" s="225">
        <f>SUM(R15,T15,V15)</f>
        <v>0</v>
      </c>
      <c r="Y15" s="225">
        <f t="shared" si="2"/>
        <v>0</v>
      </c>
      <c r="Z15" s="224">
        <f>100/6/100</f>
        <v>0.16666666666666669</v>
      </c>
      <c r="AA15" s="224"/>
      <c r="AB15" s="224">
        <f>100/6/100</f>
        <v>0.16666666666666669</v>
      </c>
      <c r="AC15" s="224"/>
      <c r="AD15" s="224">
        <f>100/6/100</f>
        <v>0.16666666666666669</v>
      </c>
      <c r="AE15" s="239"/>
      <c r="AF15" s="225">
        <f t="shared" si="3"/>
        <v>0.5</v>
      </c>
      <c r="AG15" s="225">
        <f t="shared" si="3"/>
        <v>0</v>
      </c>
      <c r="AH15" s="224">
        <f>100/6/100</f>
        <v>0.16666666666666669</v>
      </c>
      <c r="AI15" s="224"/>
      <c r="AJ15" s="224">
        <f>100/6/100</f>
        <v>0.16666666666666669</v>
      </c>
      <c r="AK15" s="224"/>
      <c r="AL15" s="224">
        <f>100/6/100</f>
        <v>0.16666666666666669</v>
      </c>
      <c r="AM15" s="239"/>
      <c r="AN15" s="225">
        <f t="shared" si="4"/>
        <v>0.5</v>
      </c>
      <c r="AO15" s="225">
        <f t="shared" si="4"/>
        <v>0</v>
      </c>
      <c r="AP15" s="159"/>
      <c r="AQ15" s="159"/>
      <c r="AR15" s="159">
        <v>1</v>
      </c>
      <c r="AS15" s="159"/>
      <c r="AT15" s="159">
        <v>1</v>
      </c>
      <c r="AU15" s="159"/>
      <c r="AV15" s="233">
        <f>SUM(AF15,AN15)</f>
        <v>1</v>
      </c>
      <c r="AW15" s="233">
        <f>AVERAGE(Q15,Y15,AG15,AO15)</f>
        <v>0</v>
      </c>
      <c r="AX15" s="234" t="str">
        <f t="shared" si="6"/>
        <v/>
      </c>
      <c r="AY15" s="234"/>
      <c r="AZ15" s="234"/>
      <c r="BA15" s="234">
        <f t="shared" ref="BA15" si="27">IFERROR((Q15+Y15+AG15+AO15)/(P15+X15+AF15+AN15),"")</f>
        <v>0</v>
      </c>
      <c r="BB15" s="228">
        <f t="shared" si="10"/>
        <v>0</v>
      </c>
      <c r="BC15" s="185" t="s">
        <v>105</v>
      </c>
      <c r="BD15" s="193">
        <v>0</v>
      </c>
    </row>
    <row r="16" spans="1:57" s="152" customFormat="1" ht="108.75" thickBot="1" x14ac:dyDescent="0.35">
      <c r="A16" s="170" t="s">
        <v>45</v>
      </c>
      <c r="B16" s="171" t="s">
        <v>1</v>
      </c>
      <c r="C16" s="171" t="s">
        <v>30</v>
      </c>
      <c r="D16" s="172">
        <v>1</v>
      </c>
      <c r="E16" s="173" t="s">
        <v>196</v>
      </c>
      <c r="F16" s="194" t="s">
        <v>71</v>
      </c>
      <c r="G16" s="195" t="s">
        <v>72</v>
      </c>
      <c r="H16" s="219">
        <v>100</v>
      </c>
      <c r="I16" s="219">
        <v>100</v>
      </c>
      <c r="J16" s="241">
        <f>1/12</f>
        <v>8.3333333333333329E-2</v>
      </c>
      <c r="K16" s="241">
        <f t="shared" ref="K16:O16" si="28">1/12</f>
        <v>8.3333333333333329E-2</v>
      </c>
      <c r="L16" s="241">
        <f t="shared" si="28"/>
        <v>8.3333333333333329E-2</v>
      </c>
      <c r="M16" s="241">
        <f t="shared" si="28"/>
        <v>8.3333333333333329E-2</v>
      </c>
      <c r="N16" s="241">
        <f t="shared" si="28"/>
        <v>8.3333333333333329E-2</v>
      </c>
      <c r="O16" s="241">
        <f t="shared" si="28"/>
        <v>8.3333333333333329E-2</v>
      </c>
      <c r="P16" s="242">
        <f t="shared" si="0"/>
        <v>0.25</v>
      </c>
      <c r="Q16" s="242">
        <f t="shared" si="0"/>
        <v>0.25</v>
      </c>
      <c r="R16" s="241">
        <f>1/12</f>
        <v>8.3333333333333329E-2</v>
      </c>
      <c r="S16" s="241">
        <f t="shared" ref="S16:W16" si="29">1/12</f>
        <v>8.3333333333333329E-2</v>
      </c>
      <c r="T16" s="241">
        <f t="shared" si="29"/>
        <v>8.3333333333333329E-2</v>
      </c>
      <c r="U16" s="241">
        <f t="shared" si="29"/>
        <v>8.3333333333333329E-2</v>
      </c>
      <c r="V16" s="241">
        <f t="shared" si="29"/>
        <v>8.3333333333333329E-2</v>
      </c>
      <c r="W16" s="241">
        <f t="shared" si="29"/>
        <v>8.3333333333333329E-2</v>
      </c>
      <c r="X16" s="242">
        <f t="shared" si="2"/>
        <v>0.25</v>
      </c>
      <c r="Y16" s="242">
        <f t="shared" si="2"/>
        <v>0.25</v>
      </c>
      <c r="Z16" s="241">
        <f>1/12</f>
        <v>8.3333333333333329E-2</v>
      </c>
      <c r="AA16" s="244"/>
      <c r="AB16" s="241">
        <f>1/12</f>
        <v>8.3333333333333329E-2</v>
      </c>
      <c r="AC16" s="244"/>
      <c r="AD16" s="241">
        <f>1/12</f>
        <v>8.3333333333333329E-2</v>
      </c>
      <c r="AE16" s="244"/>
      <c r="AF16" s="242">
        <f t="shared" si="3"/>
        <v>0.25</v>
      </c>
      <c r="AG16" s="242">
        <f t="shared" si="3"/>
        <v>0</v>
      </c>
      <c r="AH16" s="241">
        <f>1/12</f>
        <v>8.3333333333333329E-2</v>
      </c>
      <c r="AI16" s="243"/>
      <c r="AJ16" s="241">
        <f>1/12</f>
        <v>8.3333333333333329E-2</v>
      </c>
      <c r="AK16" s="243"/>
      <c r="AL16" s="241">
        <f>1/12</f>
        <v>8.3333333333333329E-2</v>
      </c>
      <c r="AM16" s="243"/>
      <c r="AN16" s="242">
        <f t="shared" si="4"/>
        <v>0.25</v>
      </c>
      <c r="AO16" s="242">
        <f t="shared" si="4"/>
        <v>0</v>
      </c>
      <c r="AP16" s="240">
        <v>100</v>
      </c>
      <c r="AQ16" s="240"/>
      <c r="AR16" s="240">
        <v>100</v>
      </c>
      <c r="AS16" s="240"/>
      <c r="AT16" s="240">
        <v>100</v>
      </c>
      <c r="AU16" s="240"/>
      <c r="AV16" s="245">
        <f t="shared" si="11"/>
        <v>1</v>
      </c>
      <c r="AW16" s="245">
        <f t="shared" si="5"/>
        <v>0.5</v>
      </c>
      <c r="AX16" s="234">
        <f t="shared" si="6"/>
        <v>1</v>
      </c>
      <c r="AY16" s="238">
        <f t="shared" si="7"/>
        <v>1</v>
      </c>
      <c r="AZ16" s="238">
        <f t="shared" si="8"/>
        <v>0.66666666666666663</v>
      </c>
      <c r="BA16" s="238">
        <f t="shared" si="9"/>
        <v>0.5</v>
      </c>
      <c r="BB16" s="228">
        <f t="shared" si="10"/>
        <v>0.5</v>
      </c>
      <c r="BC16" s="196" t="s">
        <v>157</v>
      </c>
      <c r="BD16" s="246">
        <f>BB16</f>
        <v>0.5</v>
      </c>
    </row>
  </sheetData>
  <mergeCells count="44">
    <mergeCell ref="A1:B3"/>
    <mergeCell ref="C1:BC3"/>
    <mergeCell ref="A4:A6"/>
    <mergeCell ref="B4:B6"/>
    <mergeCell ref="C4:C6"/>
    <mergeCell ref="D4:D6"/>
    <mergeCell ref="E4:E6"/>
    <mergeCell ref="F4:F6"/>
    <mergeCell ref="G4:G6"/>
    <mergeCell ref="H4:I5"/>
    <mergeCell ref="BC4:BC6"/>
    <mergeCell ref="AR5:AS5"/>
    <mergeCell ref="AT5:AU5"/>
    <mergeCell ref="AD5:AE5"/>
    <mergeCell ref="AF5:AG5"/>
    <mergeCell ref="AH5:AI5"/>
    <mergeCell ref="BD4:BD6"/>
    <mergeCell ref="J5:K5"/>
    <mergeCell ref="L5:M5"/>
    <mergeCell ref="N5:O5"/>
    <mergeCell ref="P5:Q5"/>
    <mergeCell ref="AB5:AC5"/>
    <mergeCell ref="J4:AU4"/>
    <mergeCell ref="AV4:AW5"/>
    <mergeCell ref="AX4:BA5"/>
    <mergeCell ref="BB4:BB6"/>
    <mergeCell ref="R5:S5"/>
    <mergeCell ref="T5:U5"/>
    <mergeCell ref="V5:W5"/>
    <mergeCell ref="X5:Y5"/>
    <mergeCell ref="Z5:AA5"/>
    <mergeCell ref="AP5:AQ5"/>
    <mergeCell ref="AJ5:AK5"/>
    <mergeCell ref="AL5:AM5"/>
    <mergeCell ref="AN5:AO5"/>
    <mergeCell ref="A11:A13"/>
    <mergeCell ref="B11:B13"/>
    <mergeCell ref="BD11:BD13"/>
    <mergeCell ref="A7:A8"/>
    <mergeCell ref="B7:B8"/>
    <mergeCell ref="BD7:BD8"/>
    <mergeCell ref="A9:A10"/>
    <mergeCell ref="B9:B10"/>
    <mergeCell ref="BD9:BD10"/>
  </mergeCells>
  <conditionalFormatting sqref="BB7:BB16">
    <cfRule type="cellIs" dxfId="11" priority="4" operator="between">
      <formula>0.75</formula>
      <formula>0.85</formula>
    </cfRule>
    <cfRule type="cellIs" dxfId="10" priority="5" operator="greaterThan">
      <formula>0.85</formula>
    </cfRule>
    <cfRule type="cellIs" dxfId="9" priority="6" operator="lessThan">
      <formula>0.75</formula>
    </cfRule>
  </conditionalFormatting>
  <dataValidations disablePrompts="1" count="4">
    <dataValidation allowBlank="1" showInputMessage="1" showErrorMessage="1" promptTitle="Actividades" prompt="Registre las actividades macro que se requieren realizar para lograr la meta" sqref="F16:I16 F9 AP16:AU16" xr:uid="{B62AD8A6-2883-4D46-9D1D-316025E43440}"/>
    <dataValidation allowBlank="1" showInputMessage="1" showErrorMessage="1" prompt="Registre las actividades macro que se requieren para cumplir las metas" sqref="F15:I15 F10 AP15:AU15" xr:uid="{79D81EAE-DF84-43BE-9980-E849F43E8C76}"/>
    <dataValidation allowBlank="1" showInputMessage="1" showErrorMessage="1" prompt="Registre el o los productos o entregables que servirán de evidencia  " sqref="G10" xr:uid="{1AC57910-777D-45A0-93DE-277D9762AAF3}"/>
    <dataValidation allowBlank="1" showInputMessage="1" showErrorMessage="1" promptTitle="Producto" prompt="Describa el resultado de lo que se espera alcanzar cuando se cumpla la meta" sqref="G16 G9" xr:uid="{556E2600-28CB-469D-952D-A5010DC221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E24"/>
  <sheetViews>
    <sheetView zoomScale="91" zoomScaleNormal="91" workbookViewId="0">
      <pane xSplit="4" ySplit="6" topLeftCell="E10" activePane="bottomRight" state="frozen"/>
      <selection pane="topRight" activeCell="E1" sqref="E1"/>
      <selection pane="bottomLeft" activeCell="A7" sqref="A7"/>
      <selection pane="bottomRight" activeCell="D7" sqref="D7"/>
    </sheetView>
  </sheetViews>
  <sheetFormatPr baseColWidth="10" defaultColWidth="0" defaultRowHeight="9" x14ac:dyDescent="0.15"/>
  <cols>
    <col min="1" max="1" width="14.42578125" style="177" customWidth="1"/>
    <col min="2" max="2" width="31.7109375" style="177" customWidth="1"/>
    <col min="3" max="3" width="29.42578125" style="178" customWidth="1"/>
    <col min="4" max="4" width="13.28515625" style="177" customWidth="1"/>
    <col min="5" max="5" width="40.7109375" style="177" customWidth="1"/>
    <col min="6" max="6" width="61.140625" style="177" customWidth="1"/>
    <col min="7" max="7" width="58.5703125" style="177" customWidth="1"/>
    <col min="8" max="8" width="19.140625" style="177" customWidth="1"/>
    <col min="9" max="9" width="12.140625" style="177" customWidth="1"/>
    <col min="10" max="41" width="12.7109375" style="177" customWidth="1"/>
    <col min="42" max="42" width="6.5703125" style="177" hidden="1" customWidth="1"/>
    <col min="43" max="43" width="6.140625" style="177" hidden="1" customWidth="1"/>
    <col min="44" max="44" width="6.5703125" style="177" hidden="1" customWidth="1"/>
    <col min="45" max="45" width="5.42578125" style="177" hidden="1" customWidth="1"/>
    <col min="46" max="46" width="6.5703125" style="177" hidden="1" customWidth="1"/>
    <col min="47" max="47" width="5.42578125" style="177" hidden="1" customWidth="1"/>
    <col min="48" max="48" width="9.5703125" style="177" customWidth="1"/>
    <col min="49" max="49" width="12.42578125" style="177" customWidth="1"/>
    <col min="50" max="50" width="9.140625" style="177" bestFit="1" customWidth="1"/>
    <col min="51" max="51" width="10" style="177" bestFit="1" customWidth="1"/>
    <col min="52" max="52" width="9.42578125" style="177" bestFit="1" customWidth="1"/>
    <col min="53" max="53" width="9.42578125" style="177" hidden="1" customWidth="1"/>
    <col min="54" max="54" width="18" style="177" customWidth="1"/>
    <col min="55" max="55" width="110.28515625" style="178" bestFit="1" customWidth="1"/>
    <col min="56" max="56" width="38" style="177" customWidth="1"/>
    <col min="57" max="57" width="0" style="177" hidden="1" customWidth="1"/>
    <col min="58" max="16384" width="22.42578125" style="177" hidden="1"/>
  </cols>
  <sheetData>
    <row r="1" spans="1:57" ht="21" customHeight="1" x14ac:dyDescent="0.15">
      <c r="A1" s="441"/>
      <c r="B1" s="442"/>
      <c r="C1" s="447" t="s">
        <v>130</v>
      </c>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9"/>
      <c r="BD1" s="222" t="s">
        <v>198</v>
      </c>
      <c r="BE1" s="223"/>
    </row>
    <row r="2" spans="1:57" ht="16.5" customHeight="1" x14ac:dyDescent="0.2">
      <c r="A2" s="443"/>
      <c r="B2" s="444"/>
      <c r="C2" s="447"/>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9"/>
      <c r="BD2" s="112" t="s">
        <v>199</v>
      </c>
      <c r="BE2" s="1"/>
    </row>
    <row r="3" spans="1:57" ht="14.25" customHeight="1" thickBot="1" x14ac:dyDescent="0.25">
      <c r="A3" s="445"/>
      <c r="B3" s="446"/>
      <c r="C3" s="447"/>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9"/>
      <c r="BD3" s="112" t="s">
        <v>200</v>
      </c>
      <c r="BE3" s="1"/>
    </row>
    <row r="4" spans="1:57" s="152" customFormat="1" ht="22.5" customHeight="1" x14ac:dyDescent="0.3">
      <c r="A4" s="498" t="s">
        <v>51</v>
      </c>
      <c r="B4" s="484" t="s">
        <v>17</v>
      </c>
      <c r="C4" s="484" t="s">
        <v>18</v>
      </c>
      <c r="D4" s="484" t="s">
        <v>61</v>
      </c>
      <c r="E4" s="484" t="s">
        <v>16</v>
      </c>
      <c r="F4" s="484" t="s">
        <v>15</v>
      </c>
      <c r="G4" s="484" t="s">
        <v>14</v>
      </c>
      <c r="H4" s="486" t="s">
        <v>155</v>
      </c>
      <c r="I4" s="487"/>
      <c r="J4" s="500" t="s">
        <v>147</v>
      </c>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2"/>
      <c r="AV4" s="473">
        <v>2021</v>
      </c>
      <c r="AW4" s="475"/>
      <c r="AX4" s="473" t="s">
        <v>9</v>
      </c>
      <c r="AY4" s="474"/>
      <c r="AZ4" s="474"/>
      <c r="BA4" s="475"/>
      <c r="BB4" s="479" t="s">
        <v>8</v>
      </c>
      <c r="BC4" s="470" t="s">
        <v>134</v>
      </c>
      <c r="BD4" s="470" t="s">
        <v>140</v>
      </c>
    </row>
    <row r="5" spans="1:57" s="152" customFormat="1" ht="13.5" x14ac:dyDescent="0.3">
      <c r="A5" s="499"/>
      <c r="B5" s="485"/>
      <c r="C5" s="485"/>
      <c r="D5" s="485"/>
      <c r="E5" s="485"/>
      <c r="F5" s="485"/>
      <c r="G5" s="485"/>
      <c r="H5" s="488"/>
      <c r="I5" s="489"/>
      <c r="J5" s="468" t="s">
        <v>110</v>
      </c>
      <c r="K5" s="468"/>
      <c r="L5" s="468" t="s">
        <v>111</v>
      </c>
      <c r="M5" s="468"/>
      <c r="N5" s="468" t="s">
        <v>112</v>
      </c>
      <c r="O5" s="468"/>
      <c r="P5" s="469" t="s">
        <v>13</v>
      </c>
      <c r="Q5" s="469"/>
      <c r="R5" s="468" t="s">
        <v>113</v>
      </c>
      <c r="S5" s="468"/>
      <c r="T5" s="468" t="s">
        <v>114</v>
      </c>
      <c r="U5" s="468"/>
      <c r="V5" s="468" t="s">
        <v>115</v>
      </c>
      <c r="W5" s="468"/>
      <c r="X5" s="469" t="s">
        <v>12</v>
      </c>
      <c r="Y5" s="469"/>
      <c r="Z5" s="468" t="s">
        <v>116</v>
      </c>
      <c r="AA5" s="468"/>
      <c r="AB5" s="468" t="s">
        <v>117</v>
      </c>
      <c r="AC5" s="468"/>
      <c r="AD5" s="468" t="s">
        <v>118</v>
      </c>
      <c r="AE5" s="468"/>
      <c r="AF5" s="469" t="s">
        <v>11</v>
      </c>
      <c r="AG5" s="469"/>
      <c r="AH5" s="468" t="s">
        <v>119</v>
      </c>
      <c r="AI5" s="468"/>
      <c r="AJ5" s="468" t="s">
        <v>120</v>
      </c>
      <c r="AK5" s="468"/>
      <c r="AL5" s="468" t="s">
        <v>121</v>
      </c>
      <c r="AM5" s="468"/>
      <c r="AN5" s="482" t="s">
        <v>10</v>
      </c>
      <c r="AO5" s="483"/>
      <c r="AP5" s="493">
        <v>2022</v>
      </c>
      <c r="AQ5" s="494"/>
      <c r="AR5" s="493">
        <v>2023</v>
      </c>
      <c r="AS5" s="494"/>
      <c r="AT5" s="493">
        <v>2024</v>
      </c>
      <c r="AU5" s="494"/>
      <c r="AV5" s="476"/>
      <c r="AW5" s="478"/>
      <c r="AX5" s="476"/>
      <c r="AY5" s="477"/>
      <c r="AZ5" s="477"/>
      <c r="BA5" s="478"/>
      <c r="BB5" s="480"/>
      <c r="BC5" s="471"/>
      <c r="BD5" s="471"/>
    </row>
    <row r="6" spans="1:57" s="182" customFormat="1" ht="12.75" x14ac:dyDescent="0.25">
      <c r="A6" s="499"/>
      <c r="B6" s="485"/>
      <c r="C6" s="485"/>
      <c r="D6" s="485"/>
      <c r="E6" s="485"/>
      <c r="F6" s="485"/>
      <c r="G6" s="485"/>
      <c r="H6" s="179" t="s">
        <v>7</v>
      </c>
      <c r="I6" s="179" t="s">
        <v>6</v>
      </c>
      <c r="J6" s="180" t="s">
        <v>7</v>
      </c>
      <c r="K6" s="180" t="s">
        <v>6</v>
      </c>
      <c r="L6" s="180" t="s">
        <v>7</v>
      </c>
      <c r="M6" s="180" t="s">
        <v>6</v>
      </c>
      <c r="N6" s="180" t="s">
        <v>7</v>
      </c>
      <c r="O6" s="180" t="s">
        <v>6</v>
      </c>
      <c r="P6" s="179" t="s">
        <v>7</v>
      </c>
      <c r="Q6" s="179" t="s">
        <v>6</v>
      </c>
      <c r="R6" s="180" t="s">
        <v>7</v>
      </c>
      <c r="S6" s="180" t="s">
        <v>6</v>
      </c>
      <c r="T6" s="180" t="s">
        <v>7</v>
      </c>
      <c r="U6" s="180" t="s">
        <v>6</v>
      </c>
      <c r="V6" s="180" t="s">
        <v>7</v>
      </c>
      <c r="W6" s="180" t="s">
        <v>6</v>
      </c>
      <c r="X6" s="179" t="s">
        <v>7</v>
      </c>
      <c r="Y6" s="179" t="s">
        <v>6</v>
      </c>
      <c r="Z6" s="180" t="s">
        <v>7</v>
      </c>
      <c r="AA6" s="180" t="s">
        <v>6</v>
      </c>
      <c r="AB6" s="180" t="s">
        <v>7</v>
      </c>
      <c r="AC6" s="180" t="s">
        <v>6</v>
      </c>
      <c r="AD6" s="180" t="s">
        <v>7</v>
      </c>
      <c r="AE6" s="180" t="s">
        <v>6</v>
      </c>
      <c r="AF6" s="179" t="s">
        <v>7</v>
      </c>
      <c r="AG6" s="179" t="s">
        <v>6</v>
      </c>
      <c r="AH6" s="180" t="s">
        <v>7</v>
      </c>
      <c r="AI6" s="180" t="s">
        <v>6</v>
      </c>
      <c r="AJ6" s="180" t="s">
        <v>7</v>
      </c>
      <c r="AK6" s="180" t="s">
        <v>6</v>
      </c>
      <c r="AL6" s="180" t="s">
        <v>7</v>
      </c>
      <c r="AM6" s="180" t="s">
        <v>6</v>
      </c>
      <c r="AN6" s="179" t="s">
        <v>7</v>
      </c>
      <c r="AO6" s="179" t="s">
        <v>6</v>
      </c>
      <c r="AP6" s="181" t="s">
        <v>7</v>
      </c>
      <c r="AQ6" s="181" t="s">
        <v>6</v>
      </c>
      <c r="AR6" s="181" t="s">
        <v>7</v>
      </c>
      <c r="AS6" s="181" t="s">
        <v>6</v>
      </c>
      <c r="AT6" s="181" t="s">
        <v>7</v>
      </c>
      <c r="AU6" s="181" t="s">
        <v>6</v>
      </c>
      <c r="AV6" s="232" t="s">
        <v>7</v>
      </c>
      <c r="AW6" s="232" t="s">
        <v>6</v>
      </c>
      <c r="AX6" s="232" t="s">
        <v>5</v>
      </c>
      <c r="AY6" s="232" t="s">
        <v>4</v>
      </c>
      <c r="AZ6" s="232" t="s">
        <v>3</v>
      </c>
      <c r="BA6" s="232" t="s">
        <v>2</v>
      </c>
      <c r="BB6" s="481"/>
      <c r="BC6" s="472"/>
      <c r="BD6" s="472"/>
    </row>
    <row r="7" spans="1:57" s="152" customFormat="1" ht="189" x14ac:dyDescent="0.3">
      <c r="A7" s="265" t="s">
        <v>45</v>
      </c>
      <c r="B7" s="266" t="s">
        <v>19</v>
      </c>
      <c r="C7" s="153" t="s">
        <v>20</v>
      </c>
      <c r="D7" s="267">
        <v>0.5</v>
      </c>
      <c r="E7" s="153" t="s">
        <v>207</v>
      </c>
      <c r="F7" s="183" t="s">
        <v>44</v>
      </c>
      <c r="G7" s="184" t="s">
        <v>135</v>
      </c>
      <c r="H7" s="212">
        <v>100</v>
      </c>
      <c r="I7" s="212">
        <v>100</v>
      </c>
      <c r="J7" s="227">
        <f t="shared" ref="J7:O7" si="0">1/12</f>
        <v>8.3333333333333329E-2</v>
      </c>
      <c r="K7" s="227">
        <f t="shared" si="0"/>
        <v>8.3333333333333329E-2</v>
      </c>
      <c r="L7" s="227">
        <f t="shared" si="0"/>
        <v>8.3333333333333329E-2</v>
      </c>
      <c r="M7" s="227">
        <f t="shared" si="0"/>
        <v>8.3333333333333329E-2</v>
      </c>
      <c r="N7" s="227">
        <f t="shared" si="0"/>
        <v>8.3333333333333329E-2</v>
      </c>
      <c r="O7" s="227">
        <f t="shared" si="0"/>
        <v>8.3333333333333329E-2</v>
      </c>
      <c r="P7" s="225">
        <f t="shared" ref="P7" si="1">SUM(J7,L7,N7)</f>
        <v>0.25</v>
      </c>
      <c r="Q7" s="225">
        <f t="shared" ref="Q7" si="2">SUM(K7,M7,O7)</f>
        <v>0.25</v>
      </c>
      <c r="R7" s="227">
        <f t="shared" ref="R7:W7" si="3">1/12</f>
        <v>8.3333333333333329E-2</v>
      </c>
      <c r="S7" s="227">
        <f t="shared" si="3"/>
        <v>8.3333333333333329E-2</v>
      </c>
      <c r="T7" s="227">
        <f t="shared" si="3"/>
        <v>8.3333333333333329E-2</v>
      </c>
      <c r="U7" s="227">
        <f t="shared" si="3"/>
        <v>8.3333333333333329E-2</v>
      </c>
      <c r="V7" s="227">
        <f t="shared" si="3"/>
        <v>8.3333333333333329E-2</v>
      </c>
      <c r="W7" s="227">
        <f t="shared" si="3"/>
        <v>8.3333333333333329E-2</v>
      </c>
      <c r="X7" s="225">
        <f t="shared" ref="X7" si="4">SUM(R7,T7,V7)</f>
        <v>0.25</v>
      </c>
      <c r="Y7" s="225">
        <f t="shared" ref="Y7" si="5">SUM(S7,U7,W7)</f>
        <v>0.25</v>
      </c>
      <c r="Z7" s="227">
        <f t="shared" ref="Z7:AE7" si="6">1/12</f>
        <v>8.3333333333333329E-2</v>
      </c>
      <c r="AA7" s="227">
        <f t="shared" si="6"/>
        <v>8.3333333333333329E-2</v>
      </c>
      <c r="AB7" s="227">
        <f t="shared" si="6"/>
        <v>8.3333333333333329E-2</v>
      </c>
      <c r="AC7" s="227">
        <f t="shared" si="6"/>
        <v>8.3333333333333329E-2</v>
      </c>
      <c r="AD7" s="227">
        <f t="shared" si="6"/>
        <v>8.3333333333333329E-2</v>
      </c>
      <c r="AE7" s="227">
        <f t="shared" si="6"/>
        <v>8.3333333333333329E-2</v>
      </c>
      <c r="AF7" s="225">
        <f t="shared" ref="AF7" si="7">SUM(Z7,AB7,AD7)</f>
        <v>0.25</v>
      </c>
      <c r="AG7" s="225">
        <f t="shared" ref="AG7" si="8">SUM(AA7,AC7,AE7)</f>
        <v>0.25</v>
      </c>
      <c r="AH7" s="227">
        <f>1/12</f>
        <v>8.3333333333333329E-2</v>
      </c>
      <c r="AI7" s="204"/>
      <c r="AJ7" s="227">
        <f>1/12</f>
        <v>8.3333333333333329E-2</v>
      </c>
      <c r="AK7" s="204"/>
      <c r="AL7" s="227">
        <f>1/12</f>
        <v>8.3333333333333329E-2</v>
      </c>
      <c r="AM7" s="221"/>
      <c r="AN7" s="156">
        <f t="shared" ref="AN7" si="9">SUM(AH7,AJ7,AL7)</f>
        <v>0.25</v>
      </c>
      <c r="AO7" s="156">
        <f t="shared" ref="AO7" si="10">SUM(AI7,AK7,AM7)</f>
        <v>0</v>
      </c>
      <c r="AP7" s="231">
        <f>100/100</f>
        <v>1</v>
      </c>
      <c r="AQ7" s="161"/>
      <c r="AR7" s="231">
        <f>100/100</f>
        <v>1</v>
      </c>
      <c r="AS7" s="161"/>
      <c r="AT7" s="231">
        <f>100/100</f>
        <v>1</v>
      </c>
      <c r="AU7" s="161"/>
      <c r="AV7" s="233">
        <f>SUM(P7,X7,AF7,AN7)</f>
        <v>1</v>
      </c>
      <c r="AW7" s="233">
        <f>SUM(Q7,Y7,AG7,AO7)</f>
        <v>0.75</v>
      </c>
      <c r="AX7" s="234">
        <f t="shared" ref="AX7:AX24" si="11">IFERROR(Q7/P7,"")</f>
        <v>1</v>
      </c>
      <c r="AY7" s="234">
        <f>IFERROR((Q7+Y7)/(P7+X7),"")</f>
        <v>1</v>
      </c>
      <c r="AZ7" s="234">
        <f>IFERROR((Q7+Y7+AG7)/(P7+X7+AF7),"")</f>
        <v>1</v>
      </c>
      <c r="BA7" s="234">
        <f>IFERROR((Q7+Y7+AG7+AO7)/(P7+X7+AF7+AN7),"")</f>
        <v>0.75</v>
      </c>
      <c r="BB7" s="228">
        <f>IFERROR(AW7/AV7,"")</f>
        <v>0.75</v>
      </c>
      <c r="BC7" s="185" t="s">
        <v>177</v>
      </c>
      <c r="BD7" s="228">
        <f>AVERAGE(BB7:BB7)</f>
        <v>0.75</v>
      </c>
    </row>
    <row r="8" spans="1:57" s="152" customFormat="1" ht="378" x14ac:dyDescent="0.3">
      <c r="A8" s="505" t="s">
        <v>46</v>
      </c>
      <c r="B8" s="495" t="s">
        <v>21</v>
      </c>
      <c r="C8" s="465" t="s">
        <v>22</v>
      </c>
      <c r="D8" s="268">
        <v>0.5</v>
      </c>
      <c r="E8" s="269" t="s">
        <v>206</v>
      </c>
      <c r="F8" s="186" t="s">
        <v>52</v>
      </c>
      <c r="G8" s="186" t="s">
        <v>52</v>
      </c>
      <c r="H8" s="211">
        <v>100</v>
      </c>
      <c r="I8" s="211">
        <v>100</v>
      </c>
      <c r="J8" s="198">
        <v>0</v>
      </c>
      <c r="K8" s="198">
        <v>0</v>
      </c>
      <c r="L8" s="198">
        <v>0</v>
      </c>
      <c r="M8" s="198">
        <v>0</v>
      </c>
      <c r="N8" s="198">
        <v>0</v>
      </c>
      <c r="O8" s="198">
        <v>0</v>
      </c>
      <c r="P8" s="208">
        <f t="shared" ref="P8:Q9" si="12">SUM(J8,L8,N8)</f>
        <v>0</v>
      </c>
      <c r="Q8" s="208">
        <f t="shared" si="12"/>
        <v>0</v>
      </c>
      <c r="R8" s="198">
        <v>0</v>
      </c>
      <c r="S8" s="198">
        <v>0</v>
      </c>
      <c r="T8" s="226">
        <v>0.125</v>
      </c>
      <c r="U8" s="198">
        <v>0</v>
      </c>
      <c r="V8" s="226">
        <v>0.125</v>
      </c>
      <c r="W8" s="198">
        <v>0</v>
      </c>
      <c r="X8" s="225">
        <f>SUM(R8,T8,V8)</f>
        <v>0.25</v>
      </c>
      <c r="Y8" s="208">
        <f t="shared" ref="X8:Y10" si="13">SUM(S8,U8,W8)</f>
        <v>0</v>
      </c>
      <c r="Z8" s="226">
        <f>12.5/100</f>
        <v>0.125</v>
      </c>
      <c r="AA8" s="198"/>
      <c r="AB8" s="226">
        <f>12.5/100</f>
        <v>0.125</v>
      </c>
      <c r="AC8" s="198"/>
      <c r="AD8" s="226">
        <f>12.5/100</f>
        <v>0.125</v>
      </c>
      <c r="AE8" s="198"/>
      <c r="AF8" s="225">
        <f t="shared" ref="AF8:AG10" si="14">SUM(Z8,AB8,AD8)</f>
        <v>0.375</v>
      </c>
      <c r="AG8" s="208">
        <f t="shared" si="14"/>
        <v>0</v>
      </c>
      <c r="AH8" s="226">
        <f>12.5/100</f>
        <v>0.125</v>
      </c>
      <c r="AI8" s="198"/>
      <c r="AJ8" s="226">
        <f>12.5/100</f>
        <v>0.125</v>
      </c>
      <c r="AK8" s="198"/>
      <c r="AL8" s="226">
        <f>12.5/100</f>
        <v>0.125</v>
      </c>
      <c r="AM8" s="198"/>
      <c r="AN8" s="225">
        <f t="shared" ref="AN8:AO10" si="15">SUM(AH8,AJ8,AL8)</f>
        <v>0.375</v>
      </c>
      <c r="AO8" s="225">
        <f t="shared" si="15"/>
        <v>0</v>
      </c>
      <c r="AP8" s="209">
        <v>100</v>
      </c>
      <c r="AQ8" s="209"/>
      <c r="AR8" s="209">
        <v>100</v>
      </c>
      <c r="AS8" s="209"/>
      <c r="AT8" s="209">
        <v>100</v>
      </c>
      <c r="AU8" s="209"/>
      <c r="AV8" s="233">
        <f>SUM(P8,X8,AF8,AN8)</f>
        <v>1</v>
      </c>
      <c r="AW8" s="235">
        <f>SUM(Q8,Y8,AG8,AO8)</f>
        <v>0</v>
      </c>
      <c r="AX8" s="234" t="str">
        <f t="shared" si="11"/>
        <v/>
      </c>
      <c r="AY8" s="234">
        <f>IFERROR((Q8+Y8)/(P8+X8),"")</f>
        <v>0</v>
      </c>
      <c r="AZ8" s="234">
        <f t="shared" ref="AZ8:AZ24" si="16">IFERROR((Q8+Y8+AG8)/(P8+X8+AF8),"")</f>
        <v>0</v>
      </c>
      <c r="BA8" s="234">
        <f t="shared" ref="BA8:BA24" si="17">IFERROR((Q8+Y8+AG8+AO8)/(P8+X8+AF8+AN8),"")</f>
        <v>0</v>
      </c>
      <c r="BB8" s="228">
        <f t="shared" ref="BB8:BB24" si="18">IFERROR(AW8/AV8,"")</f>
        <v>0</v>
      </c>
      <c r="BC8" s="185" t="s">
        <v>228</v>
      </c>
      <c r="BD8" s="460"/>
    </row>
    <row r="9" spans="1:57" s="152" customFormat="1" ht="409.5" x14ac:dyDescent="0.3">
      <c r="A9" s="505"/>
      <c r="B9" s="496"/>
      <c r="C9" s="466"/>
      <c r="D9" s="268">
        <v>0.5</v>
      </c>
      <c r="E9" s="269" t="s">
        <v>217</v>
      </c>
      <c r="F9" s="186" t="s">
        <v>52</v>
      </c>
      <c r="G9" s="187" t="s">
        <v>53</v>
      </c>
      <c r="H9" s="211">
        <v>100</v>
      </c>
      <c r="I9" s="211">
        <v>100</v>
      </c>
      <c r="J9" s="197">
        <v>0</v>
      </c>
      <c r="K9" s="197">
        <v>0</v>
      </c>
      <c r="L9" s="197">
        <v>0</v>
      </c>
      <c r="M9" s="197">
        <v>0</v>
      </c>
      <c r="N9" s="224">
        <f>5/100</f>
        <v>0.05</v>
      </c>
      <c r="O9" s="224"/>
      <c r="P9" s="225">
        <f>SUM(J9,L9,N9)</f>
        <v>0.05</v>
      </c>
      <c r="Q9" s="225">
        <f t="shared" si="12"/>
        <v>0</v>
      </c>
      <c r="R9" s="224">
        <f>5/100</f>
        <v>0.05</v>
      </c>
      <c r="S9" s="224">
        <f>5/100</f>
        <v>0.05</v>
      </c>
      <c r="T9" s="224">
        <f>10/100</f>
        <v>0.1</v>
      </c>
      <c r="U9" s="224">
        <f t="shared" ref="U9:W9" si="19">10/100</f>
        <v>0.1</v>
      </c>
      <c r="V9" s="224">
        <f t="shared" si="19"/>
        <v>0.1</v>
      </c>
      <c r="W9" s="224">
        <f t="shared" si="19"/>
        <v>0.1</v>
      </c>
      <c r="X9" s="225">
        <f t="shared" si="13"/>
        <v>0.25</v>
      </c>
      <c r="Y9" s="225">
        <f t="shared" si="13"/>
        <v>0.25</v>
      </c>
      <c r="Z9" s="224">
        <f t="shared" ref="Z9:AE9" si="20">10/100</f>
        <v>0.1</v>
      </c>
      <c r="AA9" s="224">
        <f t="shared" si="20"/>
        <v>0.1</v>
      </c>
      <c r="AB9" s="224">
        <f t="shared" si="20"/>
        <v>0.1</v>
      </c>
      <c r="AC9" s="224">
        <f t="shared" si="20"/>
        <v>0.1</v>
      </c>
      <c r="AD9" s="224">
        <f t="shared" si="20"/>
        <v>0.1</v>
      </c>
      <c r="AE9" s="224">
        <f t="shared" si="20"/>
        <v>0.1</v>
      </c>
      <c r="AF9" s="225">
        <f t="shared" si="14"/>
        <v>0.30000000000000004</v>
      </c>
      <c r="AG9" s="225">
        <f t="shared" si="14"/>
        <v>0.30000000000000004</v>
      </c>
      <c r="AH9" s="224">
        <f>10/100</f>
        <v>0.1</v>
      </c>
      <c r="AI9" s="224"/>
      <c r="AJ9" s="224">
        <f>20/100</f>
        <v>0.2</v>
      </c>
      <c r="AK9" s="224">
        <f>20/100</f>
        <v>0.2</v>
      </c>
      <c r="AL9" s="224">
        <f>10/100</f>
        <v>0.1</v>
      </c>
      <c r="AM9" s="224"/>
      <c r="AN9" s="225">
        <f t="shared" si="15"/>
        <v>0.4</v>
      </c>
      <c r="AO9" s="225">
        <f t="shared" si="15"/>
        <v>0.2</v>
      </c>
      <c r="AP9" s="163">
        <v>100</v>
      </c>
      <c r="AQ9" s="163"/>
      <c r="AR9" s="163">
        <v>100</v>
      </c>
      <c r="AS9" s="163"/>
      <c r="AT9" s="163">
        <v>100</v>
      </c>
      <c r="AU9" s="163"/>
      <c r="AV9" s="233">
        <f t="shared" ref="AV9:AW24" si="21">SUM(P9,X9,AF9,AN9)</f>
        <v>1</v>
      </c>
      <c r="AW9" s="233">
        <f t="shared" ref="AW9:AW24" si="22">SUM(Q9,Y9,AG9,AO9)</f>
        <v>0.75</v>
      </c>
      <c r="AX9" s="234">
        <f t="shared" si="11"/>
        <v>0</v>
      </c>
      <c r="AY9" s="234">
        <f t="shared" ref="AY9:AY24" si="23">IFERROR((Q9+Y9)/(P9+X9),"")</f>
        <v>0.83333333333333337</v>
      </c>
      <c r="AZ9" s="234">
        <f t="shared" si="16"/>
        <v>0.91666666666666663</v>
      </c>
      <c r="BA9" s="234">
        <f t="shared" si="17"/>
        <v>0.75</v>
      </c>
      <c r="BB9" s="228">
        <f>IFERROR(AW9/AV9,"")</f>
        <v>0.75</v>
      </c>
      <c r="BC9" s="185" t="s">
        <v>229</v>
      </c>
      <c r="BD9" s="461"/>
    </row>
    <row r="10" spans="1:57" s="152" customFormat="1" ht="123.75" customHeight="1" x14ac:dyDescent="0.3">
      <c r="A10" s="505"/>
      <c r="B10" s="496"/>
      <c r="C10" s="155" t="s">
        <v>23</v>
      </c>
      <c r="D10" s="268">
        <v>1</v>
      </c>
      <c r="E10" s="269" t="s">
        <v>205</v>
      </c>
      <c r="F10" s="186" t="s">
        <v>54</v>
      </c>
      <c r="G10" s="187" t="s">
        <v>55</v>
      </c>
      <c r="H10" s="205">
        <v>0</v>
      </c>
      <c r="I10" s="205">
        <v>0</v>
      </c>
      <c r="J10" s="198">
        <v>0</v>
      </c>
      <c r="K10" s="198">
        <v>0</v>
      </c>
      <c r="L10" s="198">
        <v>0</v>
      </c>
      <c r="M10" s="198">
        <v>0</v>
      </c>
      <c r="N10" s="198">
        <v>0</v>
      </c>
      <c r="O10" s="198">
        <v>0</v>
      </c>
      <c r="P10" s="207">
        <f t="shared" ref="P10:P24" si="24">SUM(J10,L10,N10)</f>
        <v>0</v>
      </c>
      <c r="Q10" s="207">
        <f t="shared" ref="Q10:Q24" si="25">SUM(K10,M10,O10)</f>
        <v>0</v>
      </c>
      <c r="R10" s="198">
        <v>0</v>
      </c>
      <c r="S10" s="198">
        <v>0</v>
      </c>
      <c r="T10" s="224">
        <f>10/100</f>
        <v>0.1</v>
      </c>
      <c r="U10" s="224">
        <f>10/100</f>
        <v>0.1</v>
      </c>
      <c r="V10" s="224">
        <f>10/100</f>
        <v>0.1</v>
      </c>
      <c r="W10" s="224">
        <f>10/100</f>
        <v>0.1</v>
      </c>
      <c r="X10" s="225">
        <f>SUM(R10,T10,V10)</f>
        <v>0.2</v>
      </c>
      <c r="Y10" s="225">
        <f t="shared" si="13"/>
        <v>0.2</v>
      </c>
      <c r="Z10" s="224">
        <f>20/100</f>
        <v>0.2</v>
      </c>
      <c r="AA10" s="224">
        <f>15/100</f>
        <v>0.15</v>
      </c>
      <c r="AB10" s="224">
        <f>20/100</f>
        <v>0.2</v>
      </c>
      <c r="AC10" s="224">
        <f>5/100</f>
        <v>0.05</v>
      </c>
      <c r="AD10" s="224">
        <f>20/100</f>
        <v>0.2</v>
      </c>
      <c r="AE10" s="224">
        <f>20/100</f>
        <v>0.2</v>
      </c>
      <c r="AF10" s="225">
        <f t="shared" si="14"/>
        <v>0.60000000000000009</v>
      </c>
      <c r="AG10" s="225">
        <f t="shared" si="14"/>
        <v>0.4</v>
      </c>
      <c r="AH10" s="224">
        <f>20/100</f>
        <v>0.2</v>
      </c>
      <c r="AI10" s="198"/>
      <c r="AJ10" s="224">
        <v>0</v>
      </c>
      <c r="AK10" s="198"/>
      <c r="AL10" s="224">
        <v>0</v>
      </c>
      <c r="AM10" s="198"/>
      <c r="AN10" s="225">
        <f t="shared" si="15"/>
        <v>0.2</v>
      </c>
      <c r="AO10" s="225">
        <f>SUM(AI10,AK10,AM10)</f>
        <v>0</v>
      </c>
      <c r="AP10" s="209">
        <v>100</v>
      </c>
      <c r="AQ10" s="209"/>
      <c r="AR10" s="209">
        <v>100</v>
      </c>
      <c r="AS10" s="209"/>
      <c r="AT10" s="209">
        <v>100</v>
      </c>
      <c r="AU10" s="209"/>
      <c r="AV10" s="233">
        <f t="shared" si="21"/>
        <v>1</v>
      </c>
      <c r="AW10" s="233">
        <f>SUM(Q10,Y10,AG10,AO10)</f>
        <v>0.60000000000000009</v>
      </c>
      <c r="AX10" s="234" t="str">
        <f t="shared" si="11"/>
        <v/>
      </c>
      <c r="AY10" s="234">
        <f t="shared" si="23"/>
        <v>1</v>
      </c>
      <c r="AZ10" s="234">
        <f t="shared" si="16"/>
        <v>0.75000000000000011</v>
      </c>
      <c r="BA10" s="234">
        <f t="shared" si="17"/>
        <v>0.60000000000000009</v>
      </c>
      <c r="BB10" s="228">
        <f t="shared" si="18"/>
        <v>0.60000000000000009</v>
      </c>
      <c r="BC10" s="185" t="s">
        <v>187</v>
      </c>
      <c r="BD10" s="461"/>
    </row>
    <row r="11" spans="1:57" s="152" customFormat="1" ht="405" x14ac:dyDescent="0.3">
      <c r="A11" s="505"/>
      <c r="B11" s="496"/>
      <c r="C11" s="465" t="s">
        <v>66</v>
      </c>
      <c r="D11" s="268">
        <v>0.3</v>
      </c>
      <c r="E11" s="269" t="s">
        <v>218</v>
      </c>
      <c r="F11" s="186" t="s">
        <v>56</v>
      </c>
      <c r="G11" s="187" t="s">
        <v>83</v>
      </c>
      <c r="H11" s="205">
        <v>0</v>
      </c>
      <c r="I11" s="205">
        <v>0</v>
      </c>
      <c r="J11" s="209">
        <v>5</v>
      </c>
      <c r="K11" s="209">
        <v>5</v>
      </c>
      <c r="L11" s="209">
        <v>30</v>
      </c>
      <c r="M11" s="209">
        <v>5</v>
      </c>
      <c r="N11" s="209">
        <v>0</v>
      </c>
      <c r="O11" s="209">
        <v>5</v>
      </c>
      <c r="P11" s="210">
        <f>SUM(J11,L11,N11)</f>
        <v>35</v>
      </c>
      <c r="Q11" s="210">
        <f>SUM(K11,M11,O11)</f>
        <v>15</v>
      </c>
      <c r="R11" s="209">
        <v>10</v>
      </c>
      <c r="S11" s="209">
        <v>10</v>
      </c>
      <c r="T11" s="209">
        <v>5</v>
      </c>
      <c r="U11" s="209">
        <v>25</v>
      </c>
      <c r="V11" s="209">
        <v>5</v>
      </c>
      <c r="W11" s="209">
        <v>20</v>
      </c>
      <c r="X11" s="199">
        <f>SUM(R11,T11,V11)</f>
        <v>20</v>
      </c>
      <c r="Y11" s="199">
        <f>SUM(S11,U11,W11)</f>
        <v>55</v>
      </c>
      <c r="Z11" s="209">
        <v>5</v>
      </c>
      <c r="AA11" s="209">
        <v>5</v>
      </c>
      <c r="AB11" s="209">
        <v>10</v>
      </c>
      <c r="AC11" s="209">
        <v>5</v>
      </c>
      <c r="AD11" s="209">
        <v>10</v>
      </c>
      <c r="AE11" s="209">
        <v>5</v>
      </c>
      <c r="AF11" s="199">
        <f>SUM(Z11,AB11,AD11)</f>
        <v>25</v>
      </c>
      <c r="AG11" s="199">
        <f>SUM(AA11,AC11,AE11)</f>
        <v>15</v>
      </c>
      <c r="AH11" s="209">
        <v>10</v>
      </c>
      <c r="AI11" s="209">
        <v>0</v>
      </c>
      <c r="AJ11" s="209">
        <v>5</v>
      </c>
      <c r="AK11" s="209">
        <v>0</v>
      </c>
      <c r="AL11" s="209">
        <v>5</v>
      </c>
      <c r="AM11" s="209">
        <v>0</v>
      </c>
      <c r="AN11" s="210">
        <f>SUM(AH11,AJ11,AL11)</f>
        <v>20</v>
      </c>
      <c r="AO11" s="210">
        <f>SUM(AI11,AK11,AM11)</f>
        <v>0</v>
      </c>
      <c r="AP11" s="209">
        <v>100</v>
      </c>
      <c r="AQ11" s="209"/>
      <c r="AR11" s="209">
        <v>100</v>
      </c>
      <c r="AS11" s="209"/>
      <c r="AT11" s="209">
        <v>100</v>
      </c>
      <c r="AU11" s="209"/>
      <c r="AV11" s="236">
        <f t="shared" si="21"/>
        <v>100</v>
      </c>
      <c r="AW11" s="236">
        <f t="shared" si="21"/>
        <v>85</v>
      </c>
      <c r="AX11" s="234">
        <f t="shared" si="11"/>
        <v>0.42857142857142855</v>
      </c>
      <c r="AY11" s="234">
        <f t="shared" si="23"/>
        <v>1.2727272727272727</v>
      </c>
      <c r="AZ11" s="234">
        <f>IFERROR((Q11+Y11+AG11)/(P11+X11+AF11),"")</f>
        <v>1.0625</v>
      </c>
      <c r="BA11" s="234">
        <f t="shared" si="17"/>
        <v>0.85</v>
      </c>
      <c r="BB11" s="228">
        <f>IFERROR(AW11/AV11,"")</f>
        <v>0.85</v>
      </c>
      <c r="BC11" s="185" t="s">
        <v>230</v>
      </c>
      <c r="BD11" s="461"/>
    </row>
    <row r="12" spans="1:57" s="152" customFormat="1" ht="120.75" customHeight="1" x14ac:dyDescent="0.3">
      <c r="A12" s="505"/>
      <c r="B12" s="496"/>
      <c r="C12" s="467"/>
      <c r="D12" s="268">
        <v>0.35</v>
      </c>
      <c r="E12" s="269" t="s">
        <v>204</v>
      </c>
      <c r="F12" s="186" t="s">
        <v>57</v>
      </c>
      <c r="G12" s="187" t="s">
        <v>58</v>
      </c>
      <c r="H12" s="211">
        <v>100</v>
      </c>
      <c r="I12" s="205">
        <v>0</v>
      </c>
      <c r="J12" s="197">
        <v>0</v>
      </c>
      <c r="K12" s="197">
        <v>0</v>
      </c>
      <c r="L12" s="197">
        <v>0</v>
      </c>
      <c r="M12" s="197">
        <v>0</v>
      </c>
      <c r="N12" s="197">
        <v>0</v>
      </c>
      <c r="O12" s="197">
        <v>0</v>
      </c>
      <c r="P12" s="206">
        <f t="shared" si="24"/>
        <v>0</v>
      </c>
      <c r="Q12" s="206">
        <f t="shared" si="25"/>
        <v>0</v>
      </c>
      <c r="R12" s="197">
        <v>0</v>
      </c>
      <c r="S12" s="197">
        <v>0</v>
      </c>
      <c r="T12" s="197">
        <v>0</v>
      </c>
      <c r="U12" s="197">
        <v>0</v>
      </c>
      <c r="V12" s="224">
        <v>1</v>
      </c>
      <c r="W12" s="224">
        <v>0.95</v>
      </c>
      <c r="X12" s="230">
        <f t="shared" ref="X12:X24" si="26">SUM(R12,T12,V12)</f>
        <v>1</v>
      </c>
      <c r="Y12" s="230">
        <f t="shared" ref="Y12:Y24" si="27">SUM(S12,U12,W12)</f>
        <v>0.95</v>
      </c>
      <c r="Z12" s="197">
        <v>0</v>
      </c>
      <c r="AA12" s="224"/>
      <c r="AB12" s="224">
        <v>0</v>
      </c>
      <c r="AC12" s="224"/>
      <c r="AD12" s="224">
        <v>0</v>
      </c>
      <c r="AE12" s="224"/>
      <c r="AF12" s="230">
        <f t="shared" ref="AF12:AF24" si="28">SUM(Z12,AB12,AD12)</f>
        <v>0</v>
      </c>
      <c r="AG12" s="230">
        <f t="shared" ref="AG12:AG24" si="29">SUM(AA12,AC12,AE12)</f>
        <v>0</v>
      </c>
      <c r="AH12" s="224">
        <v>0</v>
      </c>
      <c r="AI12" s="224"/>
      <c r="AJ12" s="224">
        <v>0</v>
      </c>
      <c r="AK12" s="224"/>
      <c r="AL12" s="224">
        <v>0</v>
      </c>
      <c r="AM12" s="224"/>
      <c r="AN12" s="230">
        <f t="shared" ref="AN12:AN24" si="30">SUM(AH12,AJ12,AL12)</f>
        <v>0</v>
      </c>
      <c r="AO12" s="230">
        <f t="shared" ref="AO12:AO24" si="31">SUM(AI12,AK12,AM12)</f>
        <v>0</v>
      </c>
      <c r="AP12" s="224">
        <f>100/100</f>
        <v>1</v>
      </c>
      <c r="AQ12" s="224"/>
      <c r="AR12" s="224">
        <f>100/100</f>
        <v>1</v>
      </c>
      <c r="AS12" s="224"/>
      <c r="AT12" s="224">
        <f>100/100</f>
        <v>1</v>
      </c>
      <c r="AU12" s="163"/>
      <c r="AV12" s="233">
        <f t="shared" si="21"/>
        <v>1</v>
      </c>
      <c r="AW12" s="233">
        <f t="shared" si="22"/>
        <v>0.95</v>
      </c>
      <c r="AX12" s="234" t="str">
        <f t="shared" si="11"/>
        <v/>
      </c>
      <c r="AY12" s="234">
        <f t="shared" si="23"/>
        <v>0.95</v>
      </c>
      <c r="AZ12" s="234">
        <f t="shared" si="16"/>
        <v>0.95</v>
      </c>
      <c r="BA12" s="234">
        <f t="shared" si="17"/>
        <v>0.95</v>
      </c>
      <c r="BB12" s="228">
        <f t="shared" si="18"/>
        <v>0.95</v>
      </c>
      <c r="BC12" s="185" t="s">
        <v>201</v>
      </c>
      <c r="BD12" s="461"/>
    </row>
    <row r="13" spans="1:57" s="152" customFormat="1" ht="121.5" x14ac:dyDescent="0.3">
      <c r="A13" s="505"/>
      <c r="B13" s="496"/>
      <c r="C13" s="466"/>
      <c r="D13" s="268">
        <v>0.35</v>
      </c>
      <c r="E13" s="269" t="s">
        <v>203</v>
      </c>
      <c r="F13" s="186" t="s">
        <v>59</v>
      </c>
      <c r="G13" s="187" t="s">
        <v>60</v>
      </c>
      <c r="H13" s="211">
        <v>0</v>
      </c>
      <c r="I13" s="211">
        <v>0</v>
      </c>
      <c r="J13" s="198">
        <v>0</v>
      </c>
      <c r="K13" s="198">
        <v>0</v>
      </c>
      <c r="L13" s="198">
        <v>0</v>
      </c>
      <c r="M13" s="198">
        <v>0</v>
      </c>
      <c r="N13" s="224">
        <f>10/100</f>
        <v>0.1</v>
      </c>
      <c r="O13" s="224">
        <f>10/100</f>
        <v>0.1</v>
      </c>
      <c r="P13" s="230">
        <f t="shared" si="24"/>
        <v>0.1</v>
      </c>
      <c r="Q13" s="230">
        <f t="shared" si="25"/>
        <v>0.1</v>
      </c>
      <c r="R13" s="224">
        <f t="shared" ref="R13:W13" si="32">10/100</f>
        <v>0.1</v>
      </c>
      <c r="S13" s="224">
        <f t="shared" si="32"/>
        <v>0.1</v>
      </c>
      <c r="T13" s="224">
        <f t="shared" si="32"/>
        <v>0.1</v>
      </c>
      <c r="U13" s="224">
        <f t="shared" si="32"/>
        <v>0.1</v>
      </c>
      <c r="V13" s="224">
        <f t="shared" si="32"/>
        <v>0.1</v>
      </c>
      <c r="W13" s="224">
        <f t="shared" si="32"/>
        <v>0.1</v>
      </c>
      <c r="X13" s="230">
        <f t="shared" si="26"/>
        <v>0.30000000000000004</v>
      </c>
      <c r="Y13" s="230">
        <f t="shared" si="27"/>
        <v>0.30000000000000004</v>
      </c>
      <c r="Z13" s="224">
        <f t="shared" ref="Z13:AA13" si="33">10/100</f>
        <v>0.1</v>
      </c>
      <c r="AA13" s="224">
        <f t="shared" si="33"/>
        <v>0.1</v>
      </c>
      <c r="AB13" s="224">
        <f t="shared" ref="AB13:AC13" si="34">10/100</f>
        <v>0.1</v>
      </c>
      <c r="AC13" s="224">
        <f t="shared" si="34"/>
        <v>0.1</v>
      </c>
      <c r="AD13" s="224">
        <f t="shared" ref="AD13:AE13" si="35">10/100</f>
        <v>0.1</v>
      </c>
      <c r="AE13" s="224">
        <f t="shared" si="35"/>
        <v>0.1</v>
      </c>
      <c r="AF13" s="230">
        <f t="shared" si="28"/>
        <v>0.30000000000000004</v>
      </c>
      <c r="AG13" s="230">
        <f t="shared" si="29"/>
        <v>0.30000000000000004</v>
      </c>
      <c r="AH13" s="224">
        <f t="shared" ref="AH13" si="36">10/100</f>
        <v>0.1</v>
      </c>
      <c r="AI13" s="198"/>
      <c r="AJ13" s="224">
        <f t="shared" ref="AJ13" si="37">10/100</f>
        <v>0.1</v>
      </c>
      <c r="AK13" s="198"/>
      <c r="AL13" s="224">
        <f t="shared" ref="AL13" si="38">10/100</f>
        <v>0.1</v>
      </c>
      <c r="AM13" s="198"/>
      <c r="AN13" s="230">
        <f t="shared" si="30"/>
        <v>0.30000000000000004</v>
      </c>
      <c r="AO13" s="230">
        <f t="shared" si="31"/>
        <v>0</v>
      </c>
      <c r="AP13" s="224">
        <f>100/100</f>
        <v>1</v>
      </c>
      <c r="AQ13" s="224"/>
      <c r="AR13" s="224">
        <f>100/100</f>
        <v>1</v>
      </c>
      <c r="AS13" s="224"/>
      <c r="AT13" s="224">
        <f>100/100</f>
        <v>1</v>
      </c>
      <c r="AU13" s="163"/>
      <c r="AV13" s="233">
        <f t="shared" si="21"/>
        <v>1</v>
      </c>
      <c r="AW13" s="233">
        <f t="shared" si="22"/>
        <v>0.70000000000000007</v>
      </c>
      <c r="AX13" s="234">
        <f t="shared" si="11"/>
        <v>1</v>
      </c>
      <c r="AY13" s="234">
        <f t="shared" si="23"/>
        <v>1</v>
      </c>
      <c r="AZ13" s="234">
        <f t="shared" si="16"/>
        <v>1</v>
      </c>
      <c r="BA13" s="234">
        <f t="shared" si="17"/>
        <v>0.70000000000000007</v>
      </c>
      <c r="BB13" s="228">
        <f t="shared" si="18"/>
        <v>0.70000000000000007</v>
      </c>
      <c r="BC13" s="185" t="s">
        <v>226</v>
      </c>
      <c r="BD13" s="461"/>
    </row>
    <row r="14" spans="1:57" s="152" customFormat="1" ht="81" customHeight="1" x14ac:dyDescent="0.3">
      <c r="A14" s="505" t="s">
        <v>47</v>
      </c>
      <c r="B14" s="496"/>
      <c r="C14" s="155" t="s">
        <v>197</v>
      </c>
      <c r="D14" s="268">
        <v>1</v>
      </c>
      <c r="E14" s="269" t="s">
        <v>208</v>
      </c>
      <c r="F14" s="188" t="s">
        <v>62</v>
      </c>
      <c r="G14" s="189" t="s">
        <v>63</v>
      </c>
      <c r="H14" s="213">
        <v>0</v>
      </c>
      <c r="I14" s="213">
        <v>0</v>
      </c>
      <c r="J14" s="154">
        <v>0</v>
      </c>
      <c r="K14" s="154">
        <v>0</v>
      </c>
      <c r="L14" s="154">
        <v>0</v>
      </c>
      <c r="M14" s="154">
        <v>0</v>
      </c>
      <c r="N14" s="154">
        <v>1</v>
      </c>
      <c r="O14" s="154">
        <v>1</v>
      </c>
      <c r="P14" s="156">
        <f t="shared" si="24"/>
        <v>1</v>
      </c>
      <c r="Q14" s="156">
        <f t="shared" si="25"/>
        <v>1</v>
      </c>
      <c r="R14" s="154">
        <v>0</v>
      </c>
      <c r="S14" s="154">
        <v>0</v>
      </c>
      <c r="T14" s="154">
        <v>0</v>
      </c>
      <c r="U14" s="154">
        <v>0</v>
      </c>
      <c r="V14" s="154">
        <v>1</v>
      </c>
      <c r="W14" s="154">
        <v>1</v>
      </c>
      <c r="X14" s="156">
        <f t="shared" si="26"/>
        <v>1</v>
      </c>
      <c r="Y14" s="156">
        <f t="shared" si="27"/>
        <v>1</v>
      </c>
      <c r="Z14" s="154">
        <v>0</v>
      </c>
      <c r="AA14" s="154">
        <v>0</v>
      </c>
      <c r="AB14" s="154">
        <v>1</v>
      </c>
      <c r="AC14" s="154">
        <v>0</v>
      </c>
      <c r="AD14" s="154">
        <v>0</v>
      </c>
      <c r="AE14" s="154">
        <v>2</v>
      </c>
      <c r="AF14" s="156">
        <f t="shared" si="28"/>
        <v>1</v>
      </c>
      <c r="AG14" s="156">
        <f t="shared" si="29"/>
        <v>2</v>
      </c>
      <c r="AH14" s="154">
        <v>1</v>
      </c>
      <c r="AI14" s="154"/>
      <c r="AJ14" s="154">
        <v>0</v>
      </c>
      <c r="AK14" s="154"/>
      <c r="AL14" s="154">
        <v>0</v>
      </c>
      <c r="AM14" s="154"/>
      <c r="AN14" s="156">
        <f t="shared" si="30"/>
        <v>1</v>
      </c>
      <c r="AO14" s="156">
        <f>SUM(AI14,AK14,AM14)</f>
        <v>0</v>
      </c>
      <c r="AP14" s="158">
        <v>4</v>
      </c>
      <c r="AQ14" s="158"/>
      <c r="AR14" s="158">
        <v>4</v>
      </c>
      <c r="AS14" s="158"/>
      <c r="AT14" s="158">
        <v>4</v>
      </c>
      <c r="AU14" s="158"/>
      <c r="AV14" s="237">
        <f>SUM(P14,X14,AF14,AN14)</f>
        <v>4</v>
      </c>
      <c r="AW14" s="237">
        <f t="shared" si="22"/>
        <v>4</v>
      </c>
      <c r="AX14" s="234">
        <f t="shared" si="11"/>
        <v>1</v>
      </c>
      <c r="AY14" s="234">
        <f t="shared" si="23"/>
        <v>1</v>
      </c>
      <c r="AZ14" s="234">
        <f t="shared" si="16"/>
        <v>1.3333333333333333</v>
      </c>
      <c r="BA14" s="234">
        <f t="shared" si="17"/>
        <v>1</v>
      </c>
      <c r="BB14" s="228">
        <f>IFERROR(AW14/AV14,"")</f>
        <v>1</v>
      </c>
      <c r="BC14" s="185" t="s">
        <v>219</v>
      </c>
      <c r="BD14" s="461"/>
    </row>
    <row r="15" spans="1:57" s="152" customFormat="1" ht="81" customHeight="1" x14ac:dyDescent="0.3">
      <c r="A15" s="505"/>
      <c r="B15" s="497"/>
      <c r="C15" s="155" t="s">
        <v>67</v>
      </c>
      <c r="D15" s="268">
        <v>1</v>
      </c>
      <c r="E15" s="269" t="s">
        <v>231</v>
      </c>
      <c r="F15" s="190" t="s">
        <v>109</v>
      </c>
      <c r="G15" s="191" t="s">
        <v>64</v>
      </c>
      <c r="H15" s="213">
        <v>0</v>
      </c>
      <c r="I15" s="213">
        <v>0</v>
      </c>
      <c r="J15" s="154">
        <v>0</v>
      </c>
      <c r="K15" s="154">
        <v>0</v>
      </c>
      <c r="L15" s="154">
        <v>0</v>
      </c>
      <c r="M15" s="154">
        <v>0</v>
      </c>
      <c r="N15" s="154">
        <v>0</v>
      </c>
      <c r="O15" s="154">
        <v>0</v>
      </c>
      <c r="P15" s="156">
        <f t="shared" si="24"/>
        <v>0</v>
      </c>
      <c r="Q15" s="283">
        <f t="shared" si="25"/>
        <v>0</v>
      </c>
      <c r="R15" s="154">
        <v>0</v>
      </c>
      <c r="S15" s="154">
        <v>0</v>
      </c>
      <c r="T15" s="154">
        <v>0</v>
      </c>
      <c r="U15" s="154">
        <v>0</v>
      </c>
      <c r="V15" s="154">
        <v>1</v>
      </c>
      <c r="W15" s="284">
        <v>0</v>
      </c>
      <c r="X15" s="156">
        <f t="shared" si="26"/>
        <v>1</v>
      </c>
      <c r="Y15" s="156">
        <f t="shared" si="27"/>
        <v>0</v>
      </c>
      <c r="Z15" s="154">
        <v>0</v>
      </c>
      <c r="AA15" s="154">
        <v>0</v>
      </c>
      <c r="AB15" s="154">
        <v>0</v>
      </c>
      <c r="AC15" s="159">
        <v>0</v>
      </c>
      <c r="AD15" s="154">
        <v>10</v>
      </c>
      <c r="AE15" s="159">
        <v>12</v>
      </c>
      <c r="AF15" s="156">
        <f t="shared" si="28"/>
        <v>10</v>
      </c>
      <c r="AG15" s="156">
        <f t="shared" si="29"/>
        <v>12</v>
      </c>
      <c r="AH15" s="154">
        <v>0</v>
      </c>
      <c r="AI15" s="160"/>
      <c r="AJ15" s="154">
        <v>0</v>
      </c>
      <c r="AK15" s="160"/>
      <c r="AL15" s="154">
        <v>0</v>
      </c>
      <c r="AM15" s="160"/>
      <c r="AN15" s="156">
        <f t="shared" si="30"/>
        <v>0</v>
      </c>
      <c r="AO15" s="156">
        <f t="shared" si="31"/>
        <v>0</v>
      </c>
      <c r="AP15" s="161">
        <v>2</v>
      </c>
      <c r="AQ15" s="161"/>
      <c r="AR15" s="161">
        <v>2</v>
      </c>
      <c r="AS15" s="161"/>
      <c r="AT15" s="161">
        <v>2</v>
      </c>
      <c r="AU15" s="161"/>
      <c r="AV15" s="237">
        <f t="shared" si="21"/>
        <v>11</v>
      </c>
      <c r="AW15" s="237">
        <f t="shared" si="22"/>
        <v>12</v>
      </c>
      <c r="AX15" s="234" t="str">
        <f t="shared" si="11"/>
        <v/>
      </c>
      <c r="AY15" s="234">
        <f t="shared" si="23"/>
        <v>0</v>
      </c>
      <c r="AZ15" s="234">
        <f t="shared" si="16"/>
        <v>1.0909090909090908</v>
      </c>
      <c r="BA15" s="234">
        <f t="shared" si="17"/>
        <v>1.0909090909090908</v>
      </c>
      <c r="BB15" s="228">
        <f t="shared" si="18"/>
        <v>1.0909090909090908</v>
      </c>
      <c r="BC15" s="185" t="s">
        <v>232</v>
      </c>
      <c r="BD15" s="462"/>
    </row>
    <row r="16" spans="1:57" s="152" customFormat="1" ht="67.5" x14ac:dyDescent="0.3">
      <c r="A16" s="503" t="s">
        <v>48</v>
      </c>
      <c r="B16" s="509" t="s">
        <v>24</v>
      </c>
      <c r="C16" s="162" t="s">
        <v>86</v>
      </c>
      <c r="D16" s="272">
        <v>0.3</v>
      </c>
      <c r="E16" s="273" t="s">
        <v>209</v>
      </c>
      <c r="F16" s="190" t="s">
        <v>87</v>
      </c>
      <c r="G16" s="191" t="s">
        <v>88</v>
      </c>
      <c r="H16" s="214">
        <v>0</v>
      </c>
      <c r="I16" s="214">
        <v>0</v>
      </c>
      <c r="J16" s="227">
        <f t="shared" ref="J16:O16" si="39">1/12</f>
        <v>8.3333333333333329E-2</v>
      </c>
      <c r="K16" s="227">
        <f t="shared" si="39"/>
        <v>8.3333333333333329E-2</v>
      </c>
      <c r="L16" s="227">
        <f t="shared" si="39"/>
        <v>8.3333333333333329E-2</v>
      </c>
      <c r="M16" s="227">
        <f t="shared" si="39"/>
        <v>8.3333333333333329E-2</v>
      </c>
      <c r="N16" s="227">
        <f t="shared" si="39"/>
        <v>8.3333333333333329E-2</v>
      </c>
      <c r="O16" s="227">
        <f t="shared" si="39"/>
        <v>8.3333333333333329E-2</v>
      </c>
      <c r="P16" s="225">
        <f t="shared" si="24"/>
        <v>0.25</v>
      </c>
      <c r="Q16" s="225">
        <f t="shared" si="25"/>
        <v>0.25</v>
      </c>
      <c r="R16" s="227">
        <f t="shared" ref="R16:W16" si="40">1/12</f>
        <v>8.3333333333333329E-2</v>
      </c>
      <c r="S16" s="227">
        <f t="shared" si="40"/>
        <v>8.3333333333333329E-2</v>
      </c>
      <c r="T16" s="227">
        <f t="shared" si="40"/>
        <v>8.3333333333333329E-2</v>
      </c>
      <c r="U16" s="227">
        <f t="shared" si="40"/>
        <v>8.3333333333333329E-2</v>
      </c>
      <c r="V16" s="227">
        <f t="shared" si="40"/>
        <v>8.3333333333333329E-2</v>
      </c>
      <c r="W16" s="227">
        <f t="shared" si="40"/>
        <v>8.3333333333333329E-2</v>
      </c>
      <c r="X16" s="225">
        <f t="shared" si="26"/>
        <v>0.25</v>
      </c>
      <c r="Y16" s="225">
        <f t="shared" si="27"/>
        <v>0.25</v>
      </c>
      <c r="Z16" s="227">
        <f t="shared" ref="Z16:AE16" si="41">1/12</f>
        <v>8.3333333333333329E-2</v>
      </c>
      <c r="AA16" s="227">
        <f t="shared" si="41"/>
        <v>8.3333333333333329E-2</v>
      </c>
      <c r="AB16" s="227">
        <f t="shared" si="41"/>
        <v>8.3333333333333329E-2</v>
      </c>
      <c r="AC16" s="227">
        <f t="shared" si="41"/>
        <v>8.3333333333333329E-2</v>
      </c>
      <c r="AD16" s="227">
        <f t="shared" si="41"/>
        <v>8.3333333333333329E-2</v>
      </c>
      <c r="AE16" s="227">
        <f t="shared" si="41"/>
        <v>8.3333333333333329E-2</v>
      </c>
      <c r="AF16" s="225">
        <f t="shared" si="28"/>
        <v>0.25</v>
      </c>
      <c r="AG16" s="225">
        <f t="shared" si="29"/>
        <v>0.25</v>
      </c>
      <c r="AH16" s="227">
        <f>1/12</f>
        <v>8.3333333333333329E-2</v>
      </c>
      <c r="AI16" s="204"/>
      <c r="AJ16" s="227">
        <f>1/12</f>
        <v>8.3333333333333329E-2</v>
      </c>
      <c r="AK16" s="204"/>
      <c r="AL16" s="227">
        <f>1/12</f>
        <v>8.3333333333333329E-2</v>
      </c>
      <c r="AM16" s="221"/>
      <c r="AN16" s="156">
        <f t="shared" si="30"/>
        <v>0.25</v>
      </c>
      <c r="AO16" s="156">
        <f t="shared" si="31"/>
        <v>0</v>
      </c>
      <c r="AP16" s="231">
        <f>100/100</f>
        <v>1</v>
      </c>
      <c r="AQ16" s="161"/>
      <c r="AR16" s="231">
        <f>100/100</f>
        <v>1</v>
      </c>
      <c r="AS16" s="161"/>
      <c r="AT16" s="231">
        <f>100/100</f>
        <v>1</v>
      </c>
      <c r="AU16" s="161"/>
      <c r="AV16" s="233">
        <f>SUM(P16,X16,AF16,AN16)</f>
        <v>1</v>
      </c>
      <c r="AW16" s="233">
        <f>SUM(Q16,Y16,AG16,AO16)</f>
        <v>0.75</v>
      </c>
      <c r="AX16" s="234">
        <f t="shared" si="11"/>
        <v>1</v>
      </c>
      <c r="AY16" s="234">
        <f t="shared" si="23"/>
        <v>1</v>
      </c>
      <c r="AZ16" s="234">
        <f t="shared" si="16"/>
        <v>1</v>
      </c>
      <c r="BA16" s="234">
        <f t="shared" si="17"/>
        <v>0.75</v>
      </c>
      <c r="BB16" s="228">
        <f t="shared" si="18"/>
        <v>0.75</v>
      </c>
      <c r="BC16" s="185" t="s">
        <v>220</v>
      </c>
      <c r="BD16" s="463">
        <f>AVERAGE(BB16:BB17)</f>
        <v>0.75736111111111115</v>
      </c>
    </row>
    <row r="17" spans="1:57" s="152" customFormat="1" ht="351" x14ac:dyDescent="0.3">
      <c r="A17" s="503"/>
      <c r="B17" s="510"/>
      <c r="C17" s="162" t="s">
        <v>25</v>
      </c>
      <c r="D17" s="272">
        <v>0.7</v>
      </c>
      <c r="E17" s="273" t="s">
        <v>210</v>
      </c>
      <c r="F17" s="190" t="s">
        <v>85</v>
      </c>
      <c r="G17" s="191" t="s">
        <v>90</v>
      </c>
      <c r="H17" s="215">
        <v>0</v>
      </c>
      <c r="I17" s="215">
        <v>0</v>
      </c>
      <c r="J17" s="198">
        <v>1</v>
      </c>
      <c r="K17" s="198">
        <v>1</v>
      </c>
      <c r="L17" s="198">
        <v>1</v>
      </c>
      <c r="M17" s="198">
        <v>1</v>
      </c>
      <c r="N17" s="198">
        <v>1</v>
      </c>
      <c r="O17" s="198">
        <v>1</v>
      </c>
      <c r="P17" s="208">
        <f t="shared" si="24"/>
        <v>3</v>
      </c>
      <c r="Q17" s="208">
        <f t="shared" si="25"/>
        <v>3</v>
      </c>
      <c r="R17" s="198">
        <v>1</v>
      </c>
      <c r="S17" s="198">
        <v>1</v>
      </c>
      <c r="T17" s="198">
        <v>1</v>
      </c>
      <c r="U17" s="198">
        <v>1</v>
      </c>
      <c r="V17" s="198">
        <v>1</v>
      </c>
      <c r="W17" s="198">
        <v>1</v>
      </c>
      <c r="X17" s="208">
        <f t="shared" si="26"/>
        <v>3</v>
      </c>
      <c r="Y17" s="208">
        <f t="shared" si="27"/>
        <v>3</v>
      </c>
      <c r="Z17" s="198">
        <v>1</v>
      </c>
      <c r="AA17" s="198">
        <v>1</v>
      </c>
      <c r="AB17" s="198">
        <v>1</v>
      </c>
      <c r="AC17" s="198">
        <v>1</v>
      </c>
      <c r="AD17" s="198">
        <v>1</v>
      </c>
      <c r="AE17" s="198">
        <v>1</v>
      </c>
      <c r="AF17" s="208">
        <f t="shared" si="28"/>
        <v>3</v>
      </c>
      <c r="AG17" s="208">
        <f t="shared" si="29"/>
        <v>3</v>
      </c>
      <c r="AH17" s="198">
        <v>1</v>
      </c>
      <c r="AI17" s="198">
        <v>0.01</v>
      </c>
      <c r="AJ17" s="198">
        <v>1</v>
      </c>
      <c r="AK17" s="198">
        <f>1/12</f>
        <v>8.3333333333333329E-2</v>
      </c>
      <c r="AL17" s="198">
        <v>1</v>
      </c>
      <c r="AM17" s="198">
        <f>1/12</f>
        <v>8.3333333333333329E-2</v>
      </c>
      <c r="AN17" s="208">
        <f t="shared" si="30"/>
        <v>3</v>
      </c>
      <c r="AO17" s="208">
        <f t="shared" si="31"/>
        <v>0.17666666666666664</v>
      </c>
      <c r="AP17" s="247">
        <v>1</v>
      </c>
      <c r="AQ17" s="248"/>
      <c r="AR17" s="247">
        <v>2</v>
      </c>
      <c r="AS17" s="247"/>
      <c r="AT17" s="247">
        <v>2</v>
      </c>
      <c r="AU17" s="248"/>
      <c r="AV17" s="236">
        <f>SUM(P17,X17,AF17,AN17)</f>
        <v>12</v>
      </c>
      <c r="AW17" s="236">
        <f t="shared" si="22"/>
        <v>9.1766666666666659</v>
      </c>
      <c r="AX17" s="234">
        <f t="shared" si="11"/>
        <v>1</v>
      </c>
      <c r="AY17" s="234">
        <f t="shared" si="23"/>
        <v>1</v>
      </c>
      <c r="AZ17" s="234">
        <f t="shared" si="16"/>
        <v>1</v>
      </c>
      <c r="BA17" s="234">
        <f t="shared" si="17"/>
        <v>0.76472222222222219</v>
      </c>
      <c r="BB17" s="228">
        <f>IFERROR(AW17/AV17,"")</f>
        <v>0.76472222222222219</v>
      </c>
      <c r="BC17" s="185" t="s">
        <v>221</v>
      </c>
      <c r="BD17" s="464"/>
    </row>
    <row r="18" spans="1:57" s="152" customFormat="1" ht="202.5" x14ac:dyDescent="0.3">
      <c r="A18" s="504" t="s">
        <v>93</v>
      </c>
      <c r="B18" s="506" t="s">
        <v>0</v>
      </c>
      <c r="C18" s="157" t="s">
        <v>95</v>
      </c>
      <c r="D18" s="270">
        <v>0.35</v>
      </c>
      <c r="E18" s="271" t="s">
        <v>211</v>
      </c>
      <c r="F18" s="192" t="s">
        <v>97</v>
      </c>
      <c r="G18" s="192" t="s">
        <v>96</v>
      </c>
      <c r="H18" s="220">
        <v>200</v>
      </c>
      <c r="I18" s="220">
        <v>200</v>
      </c>
      <c r="J18" s="200">
        <v>65</v>
      </c>
      <c r="K18" s="200">
        <v>72</v>
      </c>
      <c r="L18" s="200">
        <v>75</v>
      </c>
      <c r="M18" s="200">
        <v>62</v>
      </c>
      <c r="N18" s="200">
        <v>62</v>
      </c>
      <c r="O18" s="200">
        <v>87</v>
      </c>
      <c r="P18" s="201">
        <f>SUM(J18,L18,N18)</f>
        <v>202</v>
      </c>
      <c r="Q18" s="201">
        <f>SUM(K18,M18,O18)</f>
        <v>221</v>
      </c>
      <c r="R18" s="200">
        <v>68</v>
      </c>
      <c r="S18" s="200">
        <v>76</v>
      </c>
      <c r="T18" s="200">
        <v>71</v>
      </c>
      <c r="U18" s="200">
        <v>115</v>
      </c>
      <c r="V18" s="200">
        <v>46</v>
      </c>
      <c r="W18" s="200">
        <v>46</v>
      </c>
      <c r="X18" s="201">
        <f>SUM(R18,T18,V18)</f>
        <v>185</v>
      </c>
      <c r="Y18" s="201">
        <f>SUM(S18,U18,W18)</f>
        <v>237</v>
      </c>
      <c r="Z18" s="200">
        <v>0</v>
      </c>
      <c r="AA18" s="202">
        <v>0</v>
      </c>
      <c r="AB18" s="200">
        <v>69</v>
      </c>
      <c r="AC18" s="202">
        <v>125</v>
      </c>
      <c r="AD18" s="200">
        <v>75</v>
      </c>
      <c r="AE18" s="202">
        <v>75</v>
      </c>
      <c r="AF18" s="201">
        <f>SUM(Z18,AB18,AD18)</f>
        <v>144</v>
      </c>
      <c r="AG18" s="201">
        <f>SUM(AA18,AC18,AE18)</f>
        <v>200</v>
      </c>
      <c r="AH18" s="200">
        <v>65</v>
      </c>
      <c r="AI18" s="202">
        <v>0</v>
      </c>
      <c r="AJ18" s="200">
        <v>73</v>
      </c>
      <c r="AK18" s="202">
        <v>0</v>
      </c>
      <c r="AL18" s="200">
        <v>62</v>
      </c>
      <c r="AM18" s="202">
        <v>0</v>
      </c>
      <c r="AN18" s="201">
        <f>SUM(AH18,AJ18,AL18)</f>
        <v>200</v>
      </c>
      <c r="AO18" s="201">
        <f>SUM(AI18,AK18,AM18)</f>
        <v>0</v>
      </c>
      <c r="AP18" s="203">
        <v>200</v>
      </c>
      <c r="AQ18" s="159"/>
      <c r="AR18" s="159">
        <v>200</v>
      </c>
      <c r="AS18" s="159"/>
      <c r="AT18" s="159">
        <v>200</v>
      </c>
      <c r="AU18" s="159"/>
      <c r="AV18" s="235">
        <f>SUM(P18,X18,AF18,AN18)</f>
        <v>731</v>
      </c>
      <c r="AW18" s="235">
        <f>SUM(Q18,Y18,AG18,AO18)</f>
        <v>658</v>
      </c>
      <c r="AX18" s="234">
        <f>IFERROR(Q18/P18,"")</f>
        <v>1.0940594059405941</v>
      </c>
      <c r="AY18" s="234">
        <f t="shared" si="23"/>
        <v>1.1834625322997416</v>
      </c>
      <c r="AZ18" s="234">
        <f t="shared" si="16"/>
        <v>1.2391713747645952</v>
      </c>
      <c r="BA18" s="234">
        <f>IFERROR((Q18+Y18+AG18+AO18)/(P18+X18+AF18+AN18),"")</f>
        <v>0.90013679890560871</v>
      </c>
      <c r="BB18" s="228">
        <f>IFERROR(AW18/AV18,"")</f>
        <v>0.90013679890560871</v>
      </c>
      <c r="BC18" s="185" t="s">
        <v>222</v>
      </c>
      <c r="BD18" s="490">
        <f xml:space="preserve"> AVERAGE(BB18:BB19)</f>
        <v>0.61673506611947104</v>
      </c>
    </row>
    <row r="19" spans="1:57" s="152" customFormat="1" ht="81" x14ac:dyDescent="0.3">
      <c r="A19" s="504"/>
      <c r="B19" s="507"/>
      <c r="C19" s="157" t="s">
        <v>75</v>
      </c>
      <c r="D19" s="270">
        <v>0.35</v>
      </c>
      <c r="E19" s="271" t="s">
        <v>212</v>
      </c>
      <c r="F19" s="192" t="s">
        <v>98</v>
      </c>
      <c r="G19" s="192" t="s">
        <v>99</v>
      </c>
      <c r="H19" s="220">
        <v>100</v>
      </c>
      <c r="I19" s="216">
        <v>0</v>
      </c>
      <c r="J19" s="154">
        <v>0</v>
      </c>
      <c r="K19" s="154">
        <v>0</v>
      </c>
      <c r="L19" s="154">
        <v>0</v>
      </c>
      <c r="M19" s="154">
        <v>0</v>
      </c>
      <c r="N19" s="154">
        <v>0</v>
      </c>
      <c r="O19" s="154">
        <v>0</v>
      </c>
      <c r="P19" s="156">
        <f t="shared" si="24"/>
        <v>0</v>
      </c>
      <c r="Q19" s="156">
        <f t="shared" si="25"/>
        <v>0</v>
      </c>
      <c r="R19" s="154">
        <v>0</v>
      </c>
      <c r="S19" s="154">
        <v>0</v>
      </c>
      <c r="T19" s="154">
        <v>1</v>
      </c>
      <c r="U19" s="154">
        <v>1</v>
      </c>
      <c r="V19" s="154">
        <v>0</v>
      </c>
      <c r="W19" s="154">
        <v>0</v>
      </c>
      <c r="X19" s="156">
        <f t="shared" si="26"/>
        <v>1</v>
      </c>
      <c r="Y19" s="156">
        <f t="shared" si="27"/>
        <v>1</v>
      </c>
      <c r="Z19" s="159">
        <v>0</v>
      </c>
      <c r="AA19" s="159">
        <v>0</v>
      </c>
      <c r="AB19" s="159">
        <v>0</v>
      </c>
      <c r="AC19" s="159">
        <v>0</v>
      </c>
      <c r="AD19" s="159">
        <v>0</v>
      </c>
      <c r="AE19" s="159">
        <v>0</v>
      </c>
      <c r="AF19" s="156">
        <f t="shared" si="28"/>
        <v>0</v>
      </c>
      <c r="AG19" s="156">
        <f t="shared" si="29"/>
        <v>0</v>
      </c>
      <c r="AH19" s="159">
        <v>0</v>
      </c>
      <c r="AI19" s="159"/>
      <c r="AJ19" s="159">
        <v>0</v>
      </c>
      <c r="AK19" s="159"/>
      <c r="AL19" s="159">
        <v>2</v>
      </c>
      <c r="AM19" s="159"/>
      <c r="AN19" s="156">
        <f t="shared" si="30"/>
        <v>2</v>
      </c>
      <c r="AO19" s="156">
        <f>SUM(AI19,AK19,AM19)</f>
        <v>0</v>
      </c>
      <c r="AP19" s="159">
        <v>2</v>
      </c>
      <c r="AQ19" s="159"/>
      <c r="AR19" s="159">
        <v>2</v>
      </c>
      <c r="AS19" s="159"/>
      <c r="AT19" s="159">
        <v>1</v>
      </c>
      <c r="AU19" s="159"/>
      <c r="AV19" s="237">
        <f>SUM(P19,X19,AF19,AN19)</f>
        <v>3</v>
      </c>
      <c r="AW19" s="237">
        <f>SUM(Q19,Y19,AG19,AO19)</f>
        <v>1</v>
      </c>
      <c r="AX19" s="234" t="str">
        <f t="shared" si="11"/>
        <v/>
      </c>
      <c r="AY19" s="234">
        <f>IFERROR((Q19+Y19)/(P19+X19),"")</f>
        <v>1</v>
      </c>
      <c r="AZ19" s="234">
        <f t="shared" si="16"/>
        <v>1</v>
      </c>
      <c r="BA19" s="234">
        <f t="shared" si="17"/>
        <v>0.33333333333333331</v>
      </c>
      <c r="BB19" s="228">
        <f>IFERROR(AW19/AV19,"")</f>
        <v>0.33333333333333331</v>
      </c>
      <c r="BC19" s="185" t="s">
        <v>224</v>
      </c>
      <c r="BD19" s="491"/>
    </row>
    <row r="20" spans="1:57" s="152" customFormat="1" ht="67.5" x14ac:dyDescent="0.3">
      <c r="A20" s="504"/>
      <c r="B20" s="508"/>
      <c r="C20" s="157" t="s">
        <v>100</v>
      </c>
      <c r="D20" s="270">
        <v>0.3</v>
      </c>
      <c r="E20" s="271" t="s">
        <v>213</v>
      </c>
      <c r="F20" s="192" t="s">
        <v>101</v>
      </c>
      <c r="G20" s="192" t="s">
        <v>102</v>
      </c>
      <c r="H20" s="220">
        <v>145</v>
      </c>
      <c r="I20" s="220">
        <v>145</v>
      </c>
      <c r="J20" s="154">
        <v>0</v>
      </c>
      <c r="K20" s="154">
        <v>0</v>
      </c>
      <c r="L20" s="154">
        <v>0</v>
      </c>
      <c r="M20" s="154">
        <v>0</v>
      </c>
      <c r="N20" s="154">
        <v>0</v>
      </c>
      <c r="O20" s="154">
        <v>0</v>
      </c>
      <c r="P20" s="156">
        <f t="shared" si="24"/>
        <v>0</v>
      </c>
      <c r="Q20" s="156">
        <f t="shared" si="25"/>
        <v>0</v>
      </c>
      <c r="R20" s="154">
        <v>0</v>
      </c>
      <c r="S20" s="154">
        <v>0</v>
      </c>
      <c r="T20" s="154">
        <v>0</v>
      </c>
      <c r="U20" s="154">
        <v>0</v>
      </c>
      <c r="V20" s="154">
        <v>30</v>
      </c>
      <c r="W20" s="154">
        <v>0</v>
      </c>
      <c r="X20" s="156">
        <f>SUM(R20,T20,V20)</f>
        <v>30</v>
      </c>
      <c r="Y20" s="156">
        <f t="shared" si="27"/>
        <v>0</v>
      </c>
      <c r="Z20" s="154">
        <v>30</v>
      </c>
      <c r="AA20" s="154">
        <v>0</v>
      </c>
      <c r="AB20" s="154">
        <v>35</v>
      </c>
      <c r="AC20" s="154">
        <v>0</v>
      </c>
      <c r="AD20" s="154">
        <v>35</v>
      </c>
      <c r="AE20" s="154">
        <v>0</v>
      </c>
      <c r="AF20" s="156">
        <f>SUM(Z20,AB20,AD20)</f>
        <v>100</v>
      </c>
      <c r="AG20" s="156">
        <f t="shared" si="29"/>
        <v>0</v>
      </c>
      <c r="AH20" s="154">
        <v>30</v>
      </c>
      <c r="AI20" s="154"/>
      <c r="AJ20" s="154">
        <v>30</v>
      </c>
      <c r="AK20" s="154"/>
      <c r="AL20" s="154">
        <v>10</v>
      </c>
      <c r="AM20" s="154"/>
      <c r="AN20" s="156">
        <f t="shared" si="30"/>
        <v>70</v>
      </c>
      <c r="AO20" s="156">
        <f t="shared" si="31"/>
        <v>0</v>
      </c>
      <c r="AP20" s="159">
        <v>200</v>
      </c>
      <c r="AQ20" s="159"/>
      <c r="AR20" s="159">
        <v>200</v>
      </c>
      <c r="AS20" s="159"/>
      <c r="AT20" s="159">
        <v>0</v>
      </c>
      <c r="AU20" s="159"/>
      <c r="AV20" s="237">
        <f>SUM(P20,X20,AF20,AN20)</f>
        <v>200</v>
      </c>
      <c r="AW20" s="237">
        <f>SUM(Q20,Y20,AG20,AO20)</f>
        <v>0</v>
      </c>
      <c r="AX20" s="234" t="str">
        <f t="shared" si="11"/>
        <v/>
      </c>
      <c r="AY20" s="234">
        <f t="shared" si="23"/>
        <v>0</v>
      </c>
      <c r="AZ20" s="234">
        <f t="shared" si="16"/>
        <v>0</v>
      </c>
      <c r="BA20" s="234">
        <f t="shared" si="17"/>
        <v>0</v>
      </c>
      <c r="BB20" s="228">
        <f t="shared" si="18"/>
        <v>0</v>
      </c>
      <c r="BC20" s="185" t="s">
        <v>223</v>
      </c>
      <c r="BD20" s="492"/>
    </row>
    <row r="21" spans="1:57" s="152" customFormat="1" ht="160.5" customHeight="1" x14ac:dyDescent="0.3">
      <c r="A21" s="274" t="s">
        <v>176</v>
      </c>
      <c r="B21" s="275" t="s">
        <v>175</v>
      </c>
      <c r="C21" s="275" t="s">
        <v>27</v>
      </c>
      <c r="D21" s="276">
        <v>0.4</v>
      </c>
      <c r="E21" s="276" t="s">
        <v>214</v>
      </c>
      <c r="F21" s="192" t="s">
        <v>123</v>
      </c>
      <c r="G21" s="192" t="s">
        <v>122</v>
      </c>
      <c r="H21" s="217">
        <v>0</v>
      </c>
      <c r="I21" s="217">
        <v>0</v>
      </c>
      <c r="J21" s="224">
        <f>100/100</f>
        <v>1</v>
      </c>
      <c r="K21" s="224">
        <f t="shared" ref="K21:O21" si="42">100/100</f>
        <v>1</v>
      </c>
      <c r="L21" s="224">
        <f t="shared" si="42"/>
        <v>1</v>
      </c>
      <c r="M21" s="224">
        <f t="shared" si="42"/>
        <v>1</v>
      </c>
      <c r="N21" s="224">
        <f t="shared" si="42"/>
        <v>1</v>
      </c>
      <c r="O21" s="224">
        <f t="shared" si="42"/>
        <v>1</v>
      </c>
      <c r="P21" s="225">
        <f>AVERAGE(J21,L21,N21)</f>
        <v>1</v>
      </c>
      <c r="Q21" s="225">
        <f t="shared" ref="Q21" si="43">IFERROR(AVERAGE(K21,M21,O21),"")</f>
        <v>1</v>
      </c>
      <c r="R21" s="224">
        <f>100/100</f>
        <v>1</v>
      </c>
      <c r="S21" s="224">
        <f t="shared" ref="S21:W21" si="44">100/100</f>
        <v>1</v>
      </c>
      <c r="T21" s="224">
        <f t="shared" si="44"/>
        <v>1</v>
      </c>
      <c r="U21" s="224">
        <f t="shared" si="44"/>
        <v>1</v>
      </c>
      <c r="V21" s="224">
        <f t="shared" si="44"/>
        <v>1</v>
      </c>
      <c r="W21" s="224">
        <f t="shared" si="44"/>
        <v>1</v>
      </c>
      <c r="X21" s="225">
        <f>AVERAGE(R21,T21,V21)</f>
        <v>1</v>
      </c>
      <c r="Y21" s="225">
        <f t="shared" ref="Y21" si="45">IFERROR(AVERAGE(S21,U21,W21),"")</f>
        <v>1</v>
      </c>
      <c r="Z21" s="224">
        <f>100/100</f>
        <v>1</v>
      </c>
      <c r="AA21" s="224">
        <f t="shared" ref="AA21" si="46">100/100</f>
        <v>1</v>
      </c>
      <c r="AB21" s="224">
        <f>100/100</f>
        <v>1</v>
      </c>
      <c r="AC21" s="224">
        <f t="shared" ref="AC21" si="47">100/100</f>
        <v>1</v>
      </c>
      <c r="AD21" s="224">
        <f>100/100</f>
        <v>1</v>
      </c>
      <c r="AE21" s="224">
        <f t="shared" ref="AE21" si="48">100/100</f>
        <v>1</v>
      </c>
      <c r="AF21" s="225">
        <f>AVERAGE(Z21,AB21,AD21)</f>
        <v>1</v>
      </c>
      <c r="AG21" s="225">
        <f t="shared" ref="AG21" si="49">IFERROR(AVERAGE(AA21,AC21,AE21),"")</f>
        <v>1</v>
      </c>
      <c r="AH21" s="224">
        <f>100/100</f>
        <v>1</v>
      </c>
      <c r="AI21" s="224">
        <v>0</v>
      </c>
      <c r="AJ21" s="224">
        <f>100/100</f>
        <v>1</v>
      </c>
      <c r="AK21" s="224">
        <v>0</v>
      </c>
      <c r="AL21" s="224">
        <f>100/100</f>
        <v>1</v>
      </c>
      <c r="AM21" s="224">
        <v>0</v>
      </c>
      <c r="AN21" s="225">
        <f>AVERAGE(AH21,AJ21,AL21)</f>
        <v>1</v>
      </c>
      <c r="AO21" s="225">
        <f t="shared" ref="AO21" si="50">IFERROR(AVERAGE(AI21,AK21,AM21),"")</f>
        <v>0</v>
      </c>
      <c r="AP21" s="159"/>
      <c r="AQ21" s="159"/>
      <c r="AR21" s="159"/>
      <c r="AS21" s="159"/>
      <c r="AT21" s="159"/>
      <c r="AU21" s="159"/>
      <c r="AV21" s="233">
        <f>AVERAGE(P21,X21,AF21,AN21)</f>
        <v>1</v>
      </c>
      <c r="AW21" s="233">
        <f t="shared" ref="AW21:BA21" si="51">AVERAGE(Q21,Y21,AG21,AO21)</f>
        <v>0.75</v>
      </c>
      <c r="AX21" s="234">
        <f t="shared" si="11"/>
        <v>1</v>
      </c>
      <c r="AY21" s="233">
        <f t="shared" si="51"/>
        <v>0.66666666666666663</v>
      </c>
      <c r="AZ21" s="233">
        <f t="shared" si="51"/>
        <v>1</v>
      </c>
      <c r="BA21" s="233">
        <f t="shared" si="51"/>
        <v>0.66666666666666663</v>
      </c>
      <c r="BB21" s="228">
        <f t="shared" si="18"/>
        <v>0.75</v>
      </c>
      <c r="BC21" s="185" t="s">
        <v>225</v>
      </c>
      <c r="BD21" s="458">
        <f>AVERAGE(BB21:BB22)</f>
        <v>0.61029411764705888</v>
      </c>
    </row>
    <row r="22" spans="1:57" s="152" customFormat="1" ht="130.5" customHeight="1" x14ac:dyDescent="0.3">
      <c r="A22" s="274"/>
      <c r="B22" s="287" t="s">
        <v>26</v>
      </c>
      <c r="C22" s="275" t="s">
        <v>28</v>
      </c>
      <c r="D22" s="288">
        <v>0.3</v>
      </c>
      <c r="E22" s="289" t="s">
        <v>41</v>
      </c>
      <c r="F22" s="290" t="s">
        <v>124</v>
      </c>
      <c r="G22" s="291" t="s">
        <v>125</v>
      </c>
      <c r="H22" s="292">
        <v>0</v>
      </c>
      <c r="I22" s="292">
        <v>0</v>
      </c>
      <c r="J22" s="198">
        <v>1</v>
      </c>
      <c r="K22" s="198">
        <v>1</v>
      </c>
      <c r="L22" s="198">
        <v>1</v>
      </c>
      <c r="M22" s="198">
        <v>1</v>
      </c>
      <c r="N22" s="198">
        <v>1</v>
      </c>
      <c r="O22" s="198">
        <v>1</v>
      </c>
      <c r="P22" s="201">
        <f>SUM(J22,L22,N22)</f>
        <v>3</v>
      </c>
      <c r="Q22" s="201">
        <f>SUM(K22,M22,O22)</f>
        <v>3</v>
      </c>
      <c r="R22" s="198">
        <v>2</v>
      </c>
      <c r="S22" s="198">
        <v>2</v>
      </c>
      <c r="T22" s="198">
        <v>0</v>
      </c>
      <c r="U22" s="198">
        <v>0</v>
      </c>
      <c r="V22" s="198">
        <v>1</v>
      </c>
      <c r="W22" s="198">
        <v>2</v>
      </c>
      <c r="X22" s="201">
        <f>SUM(R22,T22,V22)</f>
        <v>3</v>
      </c>
      <c r="Y22" s="201">
        <f>SUM(S22,U22,W22)</f>
        <v>4</v>
      </c>
      <c r="Z22" s="198">
        <v>1</v>
      </c>
      <c r="AA22" s="198">
        <v>0</v>
      </c>
      <c r="AB22" s="198">
        <v>2</v>
      </c>
      <c r="AC22" s="198">
        <v>0</v>
      </c>
      <c r="AD22" s="198">
        <v>2</v>
      </c>
      <c r="AE22" s="198">
        <v>1</v>
      </c>
      <c r="AF22" s="311">
        <f>SUM(Z22,AB22,AD22)</f>
        <v>5</v>
      </c>
      <c r="AG22" s="311">
        <f t="shared" ref="AG22" si="52">SUM(AA22,AC22,AE22)</f>
        <v>1</v>
      </c>
      <c r="AH22" s="198">
        <v>2</v>
      </c>
      <c r="AI22" s="224"/>
      <c r="AJ22" s="198">
        <v>2</v>
      </c>
      <c r="AK22" s="224"/>
      <c r="AL22" s="198">
        <v>2</v>
      </c>
      <c r="AM22" s="224"/>
      <c r="AN22" s="311">
        <f t="shared" ref="AN22:AO22" si="53">SUM(AH22,AJ22,AL22)</f>
        <v>6</v>
      </c>
      <c r="AO22" s="311">
        <f t="shared" si="53"/>
        <v>0</v>
      </c>
      <c r="AP22" s="311">
        <f t="shared" ref="AP22" si="54">SUM(AJ22,AL22,AN22)</f>
        <v>10</v>
      </c>
      <c r="AQ22" s="311">
        <f t="shared" ref="AQ22" si="55">SUM(AK22,AM22,AO22)</f>
        <v>0</v>
      </c>
      <c r="AR22" s="311">
        <f t="shared" ref="AR22" si="56">SUM(AL22,AN22,AP22)</f>
        <v>18</v>
      </c>
      <c r="AS22" s="311">
        <f t="shared" ref="AS22" si="57">SUM(AM22,AO22,AQ22)</f>
        <v>0</v>
      </c>
      <c r="AT22" s="311">
        <f t="shared" ref="AT22" si="58">SUM(AN22,AP22,AR22)</f>
        <v>34</v>
      </c>
      <c r="AU22" s="311">
        <f t="shared" ref="AU22" si="59">SUM(AO22,AQ22,AS22)</f>
        <v>0</v>
      </c>
      <c r="AV22" s="235">
        <f>SUM(P22+X22+AF22+AN22)</f>
        <v>17</v>
      </c>
      <c r="AW22" s="235">
        <f t="shared" ref="AW22" si="60">SUM(Q22,Y22,AG22,AO22)</f>
        <v>8</v>
      </c>
      <c r="AX22" s="234">
        <f>IFERROR(Q22/P22,"")</f>
        <v>1</v>
      </c>
      <c r="AY22" s="233">
        <f>AVERAGE(S22,AA22,AI22,AQ22)</f>
        <v>0.66666666666666663</v>
      </c>
      <c r="AZ22" s="234">
        <f>IFERROR((Q22+Y22+AG22)/(P22+X22+AF22),"")</f>
        <v>0.72727272727272729</v>
      </c>
      <c r="BA22" s="233">
        <f t="shared" ref="BA22" si="61">IFERROR((R22+Z22+AH22)/(Q22+Y22+AG22),"")</f>
        <v>0.625</v>
      </c>
      <c r="BB22" s="228">
        <f t="shared" si="18"/>
        <v>0.47058823529411764</v>
      </c>
      <c r="BC22" s="185"/>
      <c r="BD22" s="459"/>
      <c r="BE22" s="293" t="s">
        <v>132</v>
      </c>
    </row>
    <row r="23" spans="1:57" s="152" customFormat="1" ht="135" x14ac:dyDescent="0.3">
      <c r="A23" s="277" t="s">
        <v>50</v>
      </c>
      <c r="B23" s="167" t="s">
        <v>76</v>
      </c>
      <c r="C23" s="167" t="s">
        <v>77</v>
      </c>
      <c r="D23" s="278">
        <v>0.3</v>
      </c>
      <c r="E23" s="279" t="s">
        <v>215</v>
      </c>
      <c r="F23" s="183" t="s">
        <v>73</v>
      </c>
      <c r="G23" s="184" t="s">
        <v>74</v>
      </c>
      <c r="H23" s="218">
        <v>0</v>
      </c>
      <c r="I23" s="218">
        <v>0</v>
      </c>
      <c r="J23" s="198">
        <v>0</v>
      </c>
      <c r="K23" s="198">
        <v>0</v>
      </c>
      <c r="L23" s="198">
        <v>0</v>
      </c>
      <c r="M23" s="198">
        <v>0</v>
      </c>
      <c r="N23" s="198">
        <v>0</v>
      </c>
      <c r="O23" s="198">
        <v>0</v>
      </c>
      <c r="P23" s="199">
        <f t="shared" si="24"/>
        <v>0</v>
      </c>
      <c r="Q23" s="199">
        <f t="shared" si="25"/>
        <v>0</v>
      </c>
      <c r="R23" s="224">
        <v>0.11</v>
      </c>
      <c r="S23" s="224">
        <v>0</v>
      </c>
      <c r="T23" s="224">
        <v>0.11</v>
      </c>
      <c r="U23" s="224">
        <v>0</v>
      </c>
      <c r="V23" s="224">
        <v>0.11</v>
      </c>
      <c r="W23" s="224">
        <v>0</v>
      </c>
      <c r="X23" s="225">
        <f>SUM(R23,T23,V23)</f>
        <v>0.33</v>
      </c>
      <c r="Y23" s="225">
        <f t="shared" si="27"/>
        <v>0</v>
      </c>
      <c r="Z23" s="224">
        <v>0.11</v>
      </c>
      <c r="AA23" s="224">
        <v>0.11</v>
      </c>
      <c r="AB23" s="224">
        <v>0.11</v>
      </c>
      <c r="AC23" s="224">
        <v>0.22</v>
      </c>
      <c r="AD23" s="224">
        <v>0.11</v>
      </c>
      <c r="AE23" s="239">
        <v>0.33</v>
      </c>
      <c r="AF23" s="225">
        <f t="shared" si="28"/>
        <v>0.33</v>
      </c>
      <c r="AG23" s="225">
        <f t="shared" si="29"/>
        <v>0.66</v>
      </c>
      <c r="AH23" s="224">
        <v>0.11</v>
      </c>
      <c r="AI23" s="224"/>
      <c r="AJ23" s="224">
        <v>0.11</v>
      </c>
      <c r="AK23" s="224"/>
      <c r="AL23" s="224">
        <v>0.12</v>
      </c>
      <c r="AM23" s="239"/>
      <c r="AN23" s="225">
        <f t="shared" si="30"/>
        <v>0.33999999999999997</v>
      </c>
      <c r="AO23" s="225">
        <f t="shared" si="31"/>
        <v>0</v>
      </c>
      <c r="AP23" s="159"/>
      <c r="AQ23" s="159"/>
      <c r="AR23" s="159">
        <v>1</v>
      </c>
      <c r="AS23" s="159"/>
      <c r="AT23" s="159">
        <v>1</v>
      </c>
      <c r="AU23" s="159"/>
      <c r="AV23" s="233">
        <f>SUM(X23+AF23+AN23)</f>
        <v>1</v>
      </c>
      <c r="AW23" s="233">
        <f>SUM(Y23+AG23+AO23)</f>
        <v>0.66</v>
      </c>
      <c r="AX23" s="234" t="str">
        <f t="shared" si="11"/>
        <v/>
      </c>
      <c r="AY23" s="234"/>
      <c r="AZ23" s="234"/>
      <c r="BA23" s="234">
        <f t="shared" ref="BA23" si="62">IFERROR((Q23+Y23+AG23+AO23)/(P23+X23+AF23+AN23),"")</f>
        <v>0.66</v>
      </c>
      <c r="BB23" s="228">
        <f t="shared" si="18"/>
        <v>0.66</v>
      </c>
      <c r="BC23" s="185" t="s">
        <v>202</v>
      </c>
      <c r="BD23" s="312">
        <f t="shared" ref="BD23" si="63" xml:space="preserve"> BB23</f>
        <v>0.66</v>
      </c>
    </row>
    <row r="24" spans="1:57" s="152" customFormat="1" ht="257.25" thickBot="1" x14ac:dyDescent="0.35">
      <c r="A24" s="280" t="s">
        <v>45</v>
      </c>
      <c r="B24" s="171" t="s">
        <v>1</v>
      </c>
      <c r="C24" s="171" t="s">
        <v>30</v>
      </c>
      <c r="D24" s="281">
        <v>1</v>
      </c>
      <c r="E24" s="282" t="s">
        <v>216</v>
      </c>
      <c r="F24" s="194" t="s">
        <v>71</v>
      </c>
      <c r="G24" s="195" t="s">
        <v>72</v>
      </c>
      <c r="H24" s="219">
        <v>100</v>
      </c>
      <c r="I24" s="219">
        <v>100</v>
      </c>
      <c r="J24" s="241">
        <f>1/12</f>
        <v>8.3333333333333329E-2</v>
      </c>
      <c r="K24" s="241">
        <f t="shared" ref="K24:O24" si="64">1/12</f>
        <v>8.3333333333333329E-2</v>
      </c>
      <c r="L24" s="241">
        <f t="shared" si="64"/>
        <v>8.3333333333333329E-2</v>
      </c>
      <c r="M24" s="241">
        <f t="shared" si="64"/>
        <v>8.3333333333333329E-2</v>
      </c>
      <c r="N24" s="241">
        <f t="shared" si="64"/>
        <v>8.3333333333333329E-2</v>
      </c>
      <c r="O24" s="241">
        <f t="shared" si="64"/>
        <v>8.3333333333333329E-2</v>
      </c>
      <c r="P24" s="242">
        <f t="shared" si="24"/>
        <v>0.25</v>
      </c>
      <c r="Q24" s="242">
        <f t="shared" si="25"/>
        <v>0.25</v>
      </c>
      <c r="R24" s="241">
        <f>1/12</f>
        <v>8.3333333333333329E-2</v>
      </c>
      <c r="S24" s="241">
        <f t="shared" ref="S24:W24" si="65">1/12</f>
        <v>8.3333333333333329E-2</v>
      </c>
      <c r="T24" s="241">
        <f t="shared" si="65"/>
        <v>8.3333333333333329E-2</v>
      </c>
      <c r="U24" s="241">
        <f t="shared" si="65"/>
        <v>8.3333333333333329E-2</v>
      </c>
      <c r="V24" s="241">
        <f t="shared" si="65"/>
        <v>8.3333333333333329E-2</v>
      </c>
      <c r="W24" s="241">
        <f t="shared" si="65"/>
        <v>8.3333333333333329E-2</v>
      </c>
      <c r="X24" s="242">
        <f t="shared" si="26"/>
        <v>0.25</v>
      </c>
      <c r="Y24" s="242">
        <f t="shared" si="27"/>
        <v>0.25</v>
      </c>
      <c r="Z24" s="241">
        <f>1/12</f>
        <v>8.3333333333333329E-2</v>
      </c>
      <c r="AA24" s="241">
        <f t="shared" ref="AA24" si="66">1/12</f>
        <v>8.3333333333333329E-2</v>
      </c>
      <c r="AB24" s="241">
        <f>1/12</f>
        <v>8.3333333333333329E-2</v>
      </c>
      <c r="AC24" s="241">
        <f t="shared" ref="AC24" si="67">1/12</f>
        <v>8.3333333333333329E-2</v>
      </c>
      <c r="AD24" s="241">
        <f>1/12</f>
        <v>8.3333333333333329E-2</v>
      </c>
      <c r="AE24" s="241">
        <f t="shared" ref="AE24" si="68">1/12</f>
        <v>8.3333333333333329E-2</v>
      </c>
      <c r="AF24" s="242">
        <f t="shared" si="28"/>
        <v>0.25</v>
      </c>
      <c r="AG24" s="242">
        <f t="shared" si="29"/>
        <v>0.25</v>
      </c>
      <c r="AH24" s="241">
        <f>1/12</f>
        <v>8.3333333333333329E-2</v>
      </c>
      <c r="AI24" s="243"/>
      <c r="AJ24" s="241">
        <f>1/12</f>
        <v>8.3333333333333329E-2</v>
      </c>
      <c r="AK24" s="243"/>
      <c r="AL24" s="241">
        <f>1/12</f>
        <v>8.3333333333333329E-2</v>
      </c>
      <c r="AM24" s="243"/>
      <c r="AN24" s="242">
        <f t="shared" si="30"/>
        <v>0.25</v>
      </c>
      <c r="AO24" s="242">
        <f t="shared" si="31"/>
        <v>0</v>
      </c>
      <c r="AP24" s="240">
        <v>100</v>
      </c>
      <c r="AQ24" s="240"/>
      <c r="AR24" s="240">
        <v>100</v>
      </c>
      <c r="AS24" s="240"/>
      <c r="AT24" s="240">
        <v>100</v>
      </c>
      <c r="AU24" s="240"/>
      <c r="AV24" s="245">
        <f t="shared" si="21"/>
        <v>1</v>
      </c>
      <c r="AW24" s="245">
        <f t="shared" si="22"/>
        <v>0.75</v>
      </c>
      <c r="AX24" s="234">
        <f t="shared" si="11"/>
        <v>1</v>
      </c>
      <c r="AY24" s="238">
        <f t="shared" si="23"/>
        <v>1</v>
      </c>
      <c r="AZ24" s="238">
        <f t="shared" si="16"/>
        <v>1</v>
      </c>
      <c r="BA24" s="238">
        <f t="shared" si="17"/>
        <v>0.75</v>
      </c>
      <c r="BB24" s="228">
        <f t="shared" si="18"/>
        <v>0.75</v>
      </c>
      <c r="BC24" s="196" t="s">
        <v>227</v>
      </c>
      <c r="BD24" s="246">
        <f>BB24</f>
        <v>0.75</v>
      </c>
    </row>
  </sheetData>
  <sheetProtection algorithmName="SHA-512" hashValue="fhahMrTMQv9zxp6hfjEE03rjA3ZX1jwMEtfpHBwxgLc27bpnnSTRqfNqnyE0mCoM5RKQ3WomjeYzrZsQ59kUVg==" saltValue="BnU+aK26XQmABYheOtx5OQ==" spinCount="100000" sheet="1" objects="1" scenarios="1"/>
  <autoFilter ref="A4:BE24" xr:uid="{91F47103-5A43-4E23-AC75-76F86C74C2EE}">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7" showButton="0"/>
    <filterColumn colId="49" showButton="0"/>
    <filterColumn colId="50" showButton="0"/>
    <filterColumn colId="51" showButton="0"/>
  </autoFilter>
  <mergeCells count="48">
    <mergeCell ref="A16:A17"/>
    <mergeCell ref="A18:A20"/>
    <mergeCell ref="A8:A13"/>
    <mergeCell ref="B18:B20"/>
    <mergeCell ref="A14:A15"/>
    <mergeCell ref="B16:B17"/>
    <mergeCell ref="N5:O5"/>
    <mergeCell ref="P5:Q5"/>
    <mergeCell ref="R5:S5"/>
    <mergeCell ref="B8:B15"/>
    <mergeCell ref="C1:BC3"/>
    <mergeCell ref="J5:K5"/>
    <mergeCell ref="AB5:AC5"/>
    <mergeCell ref="AD5:AE5"/>
    <mergeCell ref="A1:B3"/>
    <mergeCell ref="A4:A6"/>
    <mergeCell ref="B4:B6"/>
    <mergeCell ref="AT5:AU5"/>
    <mergeCell ref="T5:U5"/>
    <mergeCell ref="C4:C6"/>
    <mergeCell ref="D4:D6"/>
    <mergeCell ref="J4:AU4"/>
    <mergeCell ref="E4:E6"/>
    <mergeCell ref="H4:I5"/>
    <mergeCell ref="F4:F6"/>
    <mergeCell ref="L5:M5"/>
    <mergeCell ref="G4:G6"/>
    <mergeCell ref="V5:W5"/>
    <mergeCell ref="X5:Y5"/>
    <mergeCell ref="Z5:AA5"/>
    <mergeCell ref="BD4:BD6"/>
    <mergeCell ref="AX4:BA5"/>
    <mergeCell ref="AF5:AG5"/>
    <mergeCell ref="AH5:AI5"/>
    <mergeCell ref="AJ5:AK5"/>
    <mergeCell ref="BB4:BB6"/>
    <mergeCell ref="AV4:AW5"/>
    <mergeCell ref="AN5:AO5"/>
    <mergeCell ref="AL5:AM5"/>
    <mergeCell ref="BC4:BC6"/>
    <mergeCell ref="AR5:AS5"/>
    <mergeCell ref="AP5:AQ5"/>
    <mergeCell ref="BD21:BD22"/>
    <mergeCell ref="BD8:BD15"/>
    <mergeCell ref="BD16:BD17"/>
    <mergeCell ref="C8:C9"/>
    <mergeCell ref="C11:C13"/>
    <mergeCell ref="BD18:BD20"/>
  </mergeCells>
  <conditionalFormatting sqref="BB7">
    <cfRule type="cellIs" dxfId="8" priority="16" operator="between">
      <formula>0.75</formula>
      <formula>0.85</formula>
    </cfRule>
    <cfRule type="cellIs" dxfId="7" priority="17" operator="greaterThan">
      <formula>0.85</formula>
    </cfRule>
    <cfRule type="cellIs" dxfId="6" priority="18" operator="lessThan">
      <formula>0.75</formula>
    </cfRule>
  </conditionalFormatting>
  <conditionalFormatting sqref="BB8:BB24">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D7">
    <cfRule type="cellIs" dxfId="2" priority="7" operator="between">
      <formula>0.75</formula>
      <formula>0.85</formula>
    </cfRule>
    <cfRule type="cellIs" dxfId="1" priority="8" operator="greaterThan">
      <formula>0.85</formula>
    </cfRule>
    <cfRule type="cellIs" dxfId="0" priority="9" operator="lessThan">
      <formula>0.75</formula>
    </cfRule>
  </conditionalFormatting>
  <dataValidations count="5">
    <dataValidation allowBlank="1" showInputMessage="1" showErrorMessage="1" promptTitle="Producto" prompt="Describa el resultado de lo que se espera alcanzar cuando se cumpla la meta" sqref="G7 G24 G16" xr:uid="{00000000-0002-0000-0100-000000000000}"/>
    <dataValidation allowBlank="1" showInputMessage="1" showErrorMessage="1" prompt="Registre el o los productos o entregables que servirán de evidencia  " sqref="G9:G13 G17" xr:uid="{00000000-0002-0000-0100-000001000000}"/>
    <dataValidation allowBlank="1" showInputMessage="1" showErrorMessage="1" prompt="Registre las actividades macro que se requieren para cumplir las metas" sqref="F23:I23 F17 F8:I13 AP23:AU23 AP8:AU13" xr:uid="{00000000-0002-0000-0100-000002000000}"/>
    <dataValidation allowBlank="1" showInputMessage="1" showErrorMessage="1" promptTitle="Actividades" prompt="Registre las actividades macro que se requieren realizar para lograr la meta" sqref="F24:I24 F7:I7 F16 AP24:AU24" xr:uid="{00000000-0002-0000-0100-000003000000}"/>
    <dataValidation allowBlank="1" showInputMessage="1" showErrorMessage="1" prompt="Registre la meta o las metas que se desarrollarán para el cumplimiento del Objetivo en 2021." sqref="D22:E22" xr:uid="{3A9A7076-EC7B-44A2-BF76-2BB7E9D1F451}"/>
  </dataValidations>
  <pageMargins left="0.7" right="0.7" top="0.75" bottom="0.75" header="0.3" footer="0.3"/>
  <pageSetup paperSize="9" orientation="portrait" r:id="rId1"/>
  <ignoredErrors>
    <ignoredError sqref="AA10 AC1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95">
        <v>0.23017778546810425</v>
      </c>
    </row>
    <row r="8" spans="8:9" x14ac:dyDescent="0.25">
      <c r="H8" s="296">
        <v>0.33113418346350798</v>
      </c>
      <c r="I8" s="297">
        <f>AVERAGE(H7:H9)</f>
        <v>0.20303126237114344</v>
      </c>
    </row>
    <row r="9" spans="8:9" x14ac:dyDescent="0.25">
      <c r="H9" s="296">
        <v>4.7781818181818182E-2</v>
      </c>
    </row>
    <row r="12" spans="8:9" ht="23.25" x14ac:dyDescent="0.25">
      <c r="H12" s="298">
        <v>4.5454545454545497E-2</v>
      </c>
    </row>
    <row r="13" spans="8:9" ht="23.25" x14ac:dyDescent="0.25">
      <c r="H13" s="298">
        <v>0.1977272727272727</v>
      </c>
      <c r="I13" s="296">
        <f>AVERAGE(H12:H14)</f>
        <v>0.18501540832049304</v>
      </c>
    </row>
    <row r="14" spans="8:9" ht="23.25" x14ac:dyDescent="0.25">
      <c r="H14" s="299">
        <v>0.31186440677966099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3" workbookViewId="0">
      <selection activeCell="C16" sqref="C16"/>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29" t="s">
        <v>19</v>
      </c>
      <c r="C2" s="90" t="s">
        <v>20</v>
      </c>
      <c r="D2" s="91" t="s">
        <v>78</v>
      </c>
      <c r="E2" s="92" t="s">
        <v>45</v>
      </c>
    </row>
    <row r="3" spans="2:5" ht="27" customHeight="1" x14ac:dyDescent="0.2">
      <c r="B3" s="512" t="s">
        <v>21</v>
      </c>
      <c r="C3" s="516" t="s">
        <v>22</v>
      </c>
      <c r="D3" s="93" t="s">
        <v>31</v>
      </c>
      <c r="E3" s="511" t="s">
        <v>46</v>
      </c>
    </row>
    <row r="4" spans="2:5" ht="27" customHeight="1" x14ac:dyDescent="0.2">
      <c r="B4" s="513"/>
      <c r="C4" s="516"/>
      <c r="D4" s="93" t="s">
        <v>32</v>
      </c>
      <c r="E4" s="511"/>
    </row>
    <row r="5" spans="2:5" ht="67.5" customHeight="1" x14ac:dyDescent="0.2">
      <c r="B5" s="513"/>
      <c r="C5" s="94" t="s">
        <v>23</v>
      </c>
      <c r="D5" s="93" t="s">
        <v>33</v>
      </c>
      <c r="E5" s="511"/>
    </row>
    <row r="6" spans="2:5" ht="36" customHeight="1" x14ac:dyDescent="0.2">
      <c r="B6" s="513"/>
      <c r="C6" s="517" t="s">
        <v>66</v>
      </c>
      <c r="D6" s="93" t="s">
        <v>65</v>
      </c>
      <c r="E6" s="511"/>
    </row>
    <row r="7" spans="2:5" ht="45" customHeight="1" x14ac:dyDescent="0.2">
      <c r="B7" s="513"/>
      <c r="C7" s="517"/>
      <c r="D7" s="93" t="s">
        <v>34</v>
      </c>
      <c r="E7" s="511"/>
    </row>
    <row r="8" spans="2:5" ht="27" x14ac:dyDescent="0.2">
      <c r="B8" s="513"/>
      <c r="C8" s="517"/>
      <c r="D8" s="93" t="s">
        <v>35</v>
      </c>
      <c r="E8" s="511"/>
    </row>
    <row r="9" spans="2:5" ht="33.75" customHeight="1" x14ac:dyDescent="0.2">
      <c r="B9" s="513"/>
      <c r="C9" s="95" t="s">
        <v>129</v>
      </c>
      <c r="D9" s="96" t="s">
        <v>36</v>
      </c>
      <c r="E9" s="511" t="s">
        <v>47</v>
      </c>
    </row>
    <row r="10" spans="2:5" ht="45" customHeight="1" x14ac:dyDescent="0.2">
      <c r="B10" s="514"/>
      <c r="C10" s="95" t="s">
        <v>67</v>
      </c>
      <c r="D10" s="96" t="s">
        <v>37</v>
      </c>
      <c r="E10" s="511"/>
    </row>
    <row r="11" spans="2:5" ht="32.25" customHeight="1" x14ac:dyDescent="0.2">
      <c r="B11" s="518" t="s">
        <v>24</v>
      </c>
      <c r="C11" s="97" t="s">
        <v>86</v>
      </c>
      <c r="D11" s="98" t="s">
        <v>38</v>
      </c>
      <c r="E11" s="511" t="s">
        <v>48</v>
      </c>
    </row>
    <row r="12" spans="2:5" ht="45" x14ac:dyDescent="0.2">
      <c r="B12" s="518"/>
      <c r="C12" s="97" t="s">
        <v>25</v>
      </c>
      <c r="D12" s="98" t="s">
        <v>91</v>
      </c>
      <c r="E12" s="511"/>
    </row>
    <row r="13" spans="2:5" ht="22.5" x14ac:dyDescent="0.2">
      <c r="B13" s="519" t="s">
        <v>0</v>
      </c>
      <c r="C13" s="99" t="s">
        <v>95</v>
      </c>
      <c r="D13" s="100" t="s">
        <v>94</v>
      </c>
      <c r="E13" s="511" t="s">
        <v>70</v>
      </c>
    </row>
    <row r="14" spans="2:5" ht="27" x14ac:dyDescent="0.2">
      <c r="B14" s="519"/>
      <c r="C14" s="99" t="s">
        <v>75</v>
      </c>
      <c r="D14" s="100" t="s">
        <v>39</v>
      </c>
      <c r="E14" s="511"/>
    </row>
    <row r="15" spans="2:5" ht="33.75" x14ac:dyDescent="0.2">
      <c r="B15" s="519"/>
      <c r="C15" s="99" t="s">
        <v>100</v>
      </c>
      <c r="D15" s="100" t="s">
        <v>103</v>
      </c>
      <c r="E15" s="511"/>
    </row>
    <row r="16" spans="2:5" ht="27" x14ac:dyDescent="0.2">
      <c r="B16" s="515" t="s">
        <v>26</v>
      </c>
      <c r="C16" s="101" t="s">
        <v>27</v>
      </c>
      <c r="D16" s="102" t="s">
        <v>40</v>
      </c>
      <c r="E16" s="511" t="s">
        <v>49</v>
      </c>
    </row>
    <row r="17" spans="2:5" ht="57.75" hidden="1" customHeight="1" x14ac:dyDescent="0.2">
      <c r="B17" s="515"/>
      <c r="C17" s="103" t="s">
        <v>28</v>
      </c>
      <c r="D17" s="102" t="s">
        <v>41</v>
      </c>
      <c r="E17" s="511"/>
    </row>
    <row r="18" spans="2:5" ht="60" hidden="1" customHeight="1" x14ac:dyDescent="0.2">
      <c r="B18" s="515"/>
      <c r="C18" s="103" t="s">
        <v>28</v>
      </c>
      <c r="D18" s="102" t="s">
        <v>42</v>
      </c>
      <c r="E18" s="511"/>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D5E7C-F728-44BE-8B06-351C549E6E71}">
  <dimension ref="A1:L21"/>
  <sheetViews>
    <sheetView topLeftCell="A10" zoomScale="71" zoomScaleNormal="71" workbookViewId="0">
      <selection activeCell="D8" sqref="D8"/>
    </sheetView>
  </sheetViews>
  <sheetFormatPr baseColWidth="10" defaultRowHeight="15" x14ac:dyDescent="0.25"/>
  <cols>
    <col min="1" max="1" width="44.5703125" customWidth="1"/>
    <col min="2" max="2" width="60.28515625" customWidth="1"/>
    <col min="3" max="5" width="18.7109375" customWidth="1"/>
    <col min="6" max="6" width="20.7109375" customWidth="1"/>
    <col min="7" max="7" width="17.140625" customWidth="1"/>
    <col min="8" max="8" width="15.85546875" hidden="1" customWidth="1"/>
    <col min="9" max="9" width="17.28515625" customWidth="1"/>
    <col min="10" max="10" width="18.7109375" hidden="1" customWidth="1"/>
    <col min="11" max="11" width="17.42578125" customWidth="1"/>
    <col min="12" max="12" width="15.85546875" hidden="1" customWidth="1"/>
  </cols>
  <sheetData>
    <row r="1" spans="1:12" ht="15" customHeight="1" x14ac:dyDescent="0.25">
      <c r="A1" s="542" t="s">
        <v>277</v>
      </c>
      <c r="B1" s="543"/>
      <c r="C1" s="544" t="s">
        <v>278</v>
      </c>
      <c r="D1" s="545"/>
      <c r="E1" s="544" t="s">
        <v>147</v>
      </c>
      <c r="F1" s="545"/>
      <c r="G1" s="546" t="s">
        <v>279</v>
      </c>
      <c r="H1" s="547"/>
      <c r="I1" s="546" t="s">
        <v>280</v>
      </c>
      <c r="J1" s="547"/>
      <c r="K1" s="546" t="s">
        <v>281</v>
      </c>
      <c r="L1" s="547"/>
    </row>
    <row r="2" spans="1:12" ht="15" customHeight="1" x14ac:dyDescent="0.25">
      <c r="A2" s="548"/>
      <c r="B2" s="549"/>
      <c r="C2" s="550"/>
      <c r="D2" s="551"/>
      <c r="E2" s="550"/>
      <c r="F2" s="551"/>
      <c r="G2" s="552"/>
      <c r="H2" s="553"/>
      <c r="I2" s="552"/>
      <c r="J2" s="553"/>
      <c r="K2" s="552"/>
      <c r="L2" s="553"/>
    </row>
    <row r="3" spans="1:12" ht="50.25" customHeight="1" x14ac:dyDescent="0.25">
      <c r="A3" s="309" t="s">
        <v>17</v>
      </c>
      <c r="B3" s="554" t="s">
        <v>68</v>
      </c>
      <c r="C3" s="555" t="s">
        <v>282</v>
      </c>
      <c r="D3" s="555" t="s">
        <v>283</v>
      </c>
      <c r="E3" s="555" t="s">
        <v>282</v>
      </c>
      <c r="F3" s="556" t="s">
        <v>284</v>
      </c>
      <c r="G3" s="555" t="s">
        <v>282</v>
      </c>
      <c r="H3" s="555" t="s">
        <v>283</v>
      </c>
      <c r="I3" s="555" t="s">
        <v>282</v>
      </c>
      <c r="J3" s="555" t="s">
        <v>283</v>
      </c>
      <c r="K3" s="555" t="s">
        <v>282</v>
      </c>
      <c r="L3" s="555" t="s">
        <v>283</v>
      </c>
    </row>
    <row r="4" spans="1:12" ht="71.25" customHeight="1" x14ac:dyDescent="0.25">
      <c r="A4" s="557" t="s">
        <v>19</v>
      </c>
      <c r="B4" s="558" t="s">
        <v>242</v>
      </c>
      <c r="C4" s="307">
        <v>1</v>
      </c>
      <c r="D4" s="307">
        <v>1</v>
      </c>
      <c r="E4" s="307">
        <v>1</v>
      </c>
      <c r="F4" s="559">
        <v>0.75</v>
      </c>
      <c r="G4" s="307">
        <v>1</v>
      </c>
      <c r="H4" s="308"/>
      <c r="I4" s="307">
        <v>1</v>
      </c>
      <c r="J4" s="308"/>
      <c r="K4" s="308"/>
    </row>
    <row r="5" spans="1:12" ht="38.25" customHeight="1" x14ac:dyDescent="0.25">
      <c r="A5" s="522" t="s">
        <v>21</v>
      </c>
      <c r="B5" s="560" t="s">
        <v>243</v>
      </c>
      <c r="C5" s="307">
        <v>1</v>
      </c>
      <c r="D5" s="307">
        <v>1</v>
      </c>
      <c r="E5" s="307">
        <v>1</v>
      </c>
      <c r="F5" s="561">
        <v>0.15</v>
      </c>
      <c r="G5" s="307">
        <v>1</v>
      </c>
      <c r="H5" s="308"/>
      <c r="I5" s="307">
        <v>1</v>
      </c>
      <c r="J5" s="308"/>
      <c r="K5" s="308"/>
    </row>
    <row r="6" spans="1:12" ht="38.25" customHeight="1" x14ac:dyDescent="0.25">
      <c r="A6" s="522"/>
      <c r="B6" s="562"/>
      <c r="C6" s="307">
        <v>1</v>
      </c>
      <c r="D6" s="307">
        <v>1</v>
      </c>
      <c r="E6" s="307">
        <v>1</v>
      </c>
      <c r="F6" s="559">
        <v>0.75</v>
      </c>
      <c r="G6" s="307">
        <v>1</v>
      </c>
      <c r="H6" s="308"/>
      <c r="I6" s="307">
        <v>1</v>
      </c>
      <c r="J6" s="308"/>
      <c r="K6" s="308"/>
    </row>
    <row r="7" spans="1:12" ht="38.25" customHeight="1" x14ac:dyDescent="0.25">
      <c r="A7" s="522"/>
      <c r="B7" s="320" t="s">
        <v>244</v>
      </c>
      <c r="C7" s="307">
        <v>1</v>
      </c>
      <c r="D7" s="307">
        <v>1</v>
      </c>
      <c r="E7" s="307">
        <v>1</v>
      </c>
      <c r="F7" s="559">
        <v>0.6</v>
      </c>
      <c r="G7" s="307">
        <v>1</v>
      </c>
      <c r="H7" s="308"/>
      <c r="I7" s="307">
        <v>1</v>
      </c>
      <c r="J7" s="308"/>
      <c r="K7" s="308"/>
    </row>
    <row r="8" spans="1:12" ht="41.25" customHeight="1" x14ac:dyDescent="0.25">
      <c r="A8" s="522"/>
      <c r="B8" s="560" t="s">
        <v>245</v>
      </c>
      <c r="C8" s="307">
        <v>0</v>
      </c>
      <c r="D8" s="307">
        <v>0</v>
      </c>
      <c r="E8" s="307">
        <v>1</v>
      </c>
      <c r="F8" s="559">
        <v>0.85</v>
      </c>
      <c r="G8" s="307">
        <v>1</v>
      </c>
      <c r="H8" s="308"/>
      <c r="I8" s="307">
        <v>1</v>
      </c>
      <c r="J8" s="308"/>
      <c r="K8" s="308"/>
    </row>
    <row r="9" spans="1:12" ht="41.25" customHeight="1" x14ac:dyDescent="0.25">
      <c r="A9" s="522"/>
      <c r="B9" s="563"/>
      <c r="C9" s="307">
        <v>0</v>
      </c>
      <c r="D9" s="307">
        <v>0</v>
      </c>
      <c r="E9" s="307">
        <v>1</v>
      </c>
      <c r="F9" s="559">
        <v>0.95</v>
      </c>
      <c r="G9" s="307">
        <v>1</v>
      </c>
      <c r="H9" s="308"/>
      <c r="I9" s="307">
        <v>1</v>
      </c>
      <c r="J9" s="308"/>
      <c r="K9" s="308"/>
    </row>
    <row r="10" spans="1:12" ht="41.25" customHeight="1" x14ac:dyDescent="0.25">
      <c r="A10" s="522"/>
      <c r="B10" s="562"/>
      <c r="C10" s="307">
        <v>0</v>
      </c>
      <c r="D10" s="307">
        <v>0</v>
      </c>
      <c r="E10" s="307">
        <v>1</v>
      </c>
      <c r="F10" s="559">
        <v>0.7</v>
      </c>
      <c r="G10" s="307">
        <v>1</v>
      </c>
      <c r="H10" s="308"/>
      <c r="I10" s="307">
        <v>1</v>
      </c>
      <c r="J10" s="308"/>
      <c r="K10" s="308"/>
    </row>
    <row r="11" spans="1:12" ht="30.75" customHeight="1" x14ac:dyDescent="0.25">
      <c r="A11" s="522"/>
      <c r="B11" s="320" t="s">
        <v>246</v>
      </c>
      <c r="C11" s="307">
        <v>0</v>
      </c>
      <c r="D11" s="307">
        <v>0</v>
      </c>
      <c r="E11" s="307">
        <v>1</v>
      </c>
      <c r="F11" s="559">
        <v>1</v>
      </c>
      <c r="G11" s="307">
        <v>1</v>
      </c>
      <c r="H11" s="308"/>
      <c r="I11" s="307">
        <v>1</v>
      </c>
      <c r="J11" s="308"/>
      <c r="K11" s="308"/>
    </row>
    <row r="12" spans="1:12" ht="43.5" customHeight="1" x14ac:dyDescent="0.25">
      <c r="A12" s="522"/>
      <c r="B12" s="343" t="s">
        <v>247</v>
      </c>
      <c r="C12" s="307">
        <v>0</v>
      </c>
      <c r="D12" s="307">
        <v>0</v>
      </c>
      <c r="E12" s="307">
        <v>1</v>
      </c>
      <c r="F12" s="559">
        <v>1</v>
      </c>
      <c r="G12" s="307">
        <v>1</v>
      </c>
      <c r="H12" s="308"/>
      <c r="I12" s="307">
        <v>1</v>
      </c>
      <c r="J12" s="308"/>
      <c r="K12" s="308"/>
    </row>
    <row r="13" spans="1:12" ht="46.5" customHeight="1" x14ac:dyDescent="0.25">
      <c r="A13" s="522" t="s">
        <v>24</v>
      </c>
      <c r="B13" s="343" t="s">
        <v>248</v>
      </c>
      <c r="C13" s="307">
        <v>0</v>
      </c>
      <c r="D13" s="307">
        <v>0</v>
      </c>
      <c r="E13" s="307">
        <v>1</v>
      </c>
      <c r="F13" s="559">
        <v>0.75</v>
      </c>
      <c r="G13" s="307">
        <v>1</v>
      </c>
      <c r="H13" s="307"/>
      <c r="I13" s="307">
        <v>1</v>
      </c>
      <c r="J13" s="308"/>
      <c r="K13" s="308"/>
    </row>
    <row r="14" spans="1:12" ht="46.5" customHeight="1" x14ac:dyDescent="0.25">
      <c r="A14" s="522"/>
      <c r="B14" s="343" t="s">
        <v>249</v>
      </c>
      <c r="C14" s="307">
        <v>0</v>
      </c>
      <c r="D14" s="307">
        <v>0</v>
      </c>
      <c r="E14" s="307">
        <v>1</v>
      </c>
      <c r="F14" s="559">
        <v>0.75</v>
      </c>
      <c r="G14" s="307">
        <v>1</v>
      </c>
      <c r="H14" s="308"/>
      <c r="I14" s="307">
        <v>1</v>
      </c>
      <c r="J14" s="308"/>
      <c r="K14" s="308"/>
    </row>
    <row r="15" spans="1:12" ht="45" customHeight="1" x14ac:dyDescent="0.25">
      <c r="A15" s="564" t="s">
        <v>0</v>
      </c>
      <c r="B15" s="343" t="s">
        <v>250</v>
      </c>
      <c r="C15" s="565" t="s">
        <v>285</v>
      </c>
      <c r="D15" s="565" t="s">
        <v>285</v>
      </c>
      <c r="E15" s="565" t="s">
        <v>286</v>
      </c>
      <c r="F15" s="566" t="s">
        <v>287</v>
      </c>
      <c r="G15" s="565" t="s">
        <v>288</v>
      </c>
      <c r="H15" s="565" t="s">
        <v>285</v>
      </c>
      <c r="I15" s="565" t="s">
        <v>288</v>
      </c>
      <c r="J15" s="308"/>
      <c r="K15" s="308"/>
    </row>
    <row r="16" spans="1:12" ht="45" customHeight="1" x14ac:dyDescent="0.25">
      <c r="A16" s="564"/>
      <c r="B16" s="343" t="s">
        <v>252</v>
      </c>
      <c r="C16" s="565" t="s">
        <v>289</v>
      </c>
      <c r="D16" s="565" t="s">
        <v>290</v>
      </c>
      <c r="E16" s="565" t="s">
        <v>291</v>
      </c>
      <c r="F16" s="567" t="s">
        <v>292</v>
      </c>
      <c r="G16" s="565" t="s">
        <v>293</v>
      </c>
      <c r="H16" s="565" t="s">
        <v>293</v>
      </c>
      <c r="I16" s="565" t="s">
        <v>294</v>
      </c>
      <c r="J16" s="308"/>
      <c r="K16" s="308"/>
    </row>
    <row r="17" spans="1:11" ht="45" customHeight="1" x14ac:dyDescent="0.25">
      <c r="A17" s="564"/>
      <c r="B17" s="343" t="s">
        <v>251</v>
      </c>
      <c r="C17" s="565" t="s">
        <v>295</v>
      </c>
      <c r="D17" s="565" t="s">
        <v>295</v>
      </c>
      <c r="E17" s="565">
        <v>200</v>
      </c>
      <c r="F17" s="567" t="s">
        <v>296</v>
      </c>
      <c r="G17" s="565" t="s">
        <v>297</v>
      </c>
      <c r="H17" s="565" t="s">
        <v>298</v>
      </c>
      <c r="I17" s="565"/>
      <c r="J17" s="308"/>
      <c r="K17" s="308"/>
    </row>
    <row r="18" spans="1:11" ht="44.25" customHeight="1" x14ac:dyDescent="0.25">
      <c r="A18" s="568" t="s">
        <v>26</v>
      </c>
      <c r="B18" s="343" t="s">
        <v>253</v>
      </c>
      <c r="C18" s="569">
        <v>0</v>
      </c>
      <c r="D18" s="569">
        <v>0</v>
      </c>
      <c r="E18" s="569">
        <v>1</v>
      </c>
      <c r="F18" s="559">
        <v>0.75</v>
      </c>
      <c r="G18" s="569">
        <v>1</v>
      </c>
      <c r="H18" s="569">
        <v>1</v>
      </c>
      <c r="I18" s="569">
        <v>1</v>
      </c>
      <c r="J18" s="308"/>
      <c r="K18" s="308"/>
    </row>
    <row r="19" spans="1:11" ht="44.25" customHeight="1" x14ac:dyDescent="0.25">
      <c r="A19" s="570"/>
      <c r="B19" s="343" t="s">
        <v>299</v>
      </c>
      <c r="C19" s="569">
        <v>0</v>
      </c>
      <c r="D19" s="569">
        <v>0</v>
      </c>
      <c r="E19" s="569">
        <v>1</v>
      </c>
      <c r="F19" s="571">
        <v>0.47</v>
      </c>
      <c r="G19" s="569">
        <v>1</v>
      </c>
      <c r="H19" s="569">
        <v>1</v>
      </c>
      <c r="I19" s="569">
        <v>1</v>
      </c>
      <c r="J19" s="308"/>
      <c r="K19" s="308"/>
    </row>
    <row r="20" spans="1:11" ht="75.75" customHeight="1" x14ac:dyDescent="0.25">
      <c r="A20" s="343" t="s">
        <v>29</v>
      </c>
      <c r="B20" s="343" t="s">
        <v>300</v>
      </c>
      <c r="C20" s="569">
        <v>0</v>
      </c>
      <c r="D20" s="569">
        <v>0</v>
      </c>
      <c r="E20" s="569">
        <v>1</v>
      </c>
      <c r="F20" s="559">
        <v>0.66</v>
      </c>
      <c r="G20" s="569">
        <v>1</v>
      </c>
      <c r="H20" s="569">
        <v>1</v>
      </c>
      <c r="I20" s="569">
        <v>1</v>
      </c>
      <c r="J20" s="308"/>
      <c r="K20" s="308"/>
    </row>
    <row r="21" spans="1:11" ht="75.75" customHeight="1" x14ac:dyDescent="0.25">
      <c r="A21" s="343" t="s">
        <v>1</v>
      </c>
      <c r="B21" s="343" t="s">
        <v>254</v>
      </c>
      <c r="C21" s="569">
        <v>1</v>
      </c>
      <c r="D21" s="569">
        <v>1</v>
      </c>
      <c r="E21" s="569">
        <v>1</v>
      </c>
      <c r="F21" s="559">
        <v>0.75</v>
      </c>
      <c r="G21" s="569">
        <v>1</v>
      </c>
      <c r="H21" s="569">
        <v>1</v>
      </c>
      <c r="I21" s="569">
        <v>1</v>
      </c>
      <c r="J21" s="308"/>
      <c r="K21" s="308"/>
    </row>
  </sheetData>
  <sheetProtection algorithmName="SHA-512" hashValue="3/iv5kN8fKhicJhl/qdNVC686hShEO3cCWFC/Tl6/pD3eR/kgStMpkmyNj8dMSqL8UsLhqosqq/JVnRvSP2Mmw==" saltValue="/OoZrOq7euSmtOdF0AjBNQ==" spinCount="100000" sheet="1" objects="1" scenarios="1"/>
  <mergeCells count="12">
    <mergeCell ref="A5:A12"/>
    <mergeCell ref="B5:B6"/>
    <mergeCell ref="B8:B10"/>
    <mergeCell ref="A13:A14"/>
    <mergeCell ref="A15:A17"/>
    <mergeCell ref="A18:A19"/>
    <mergeCell ref="A1:B2"/>
    <mergeCell ref="C1:D2"/>
    <mergeCell ref="E1:F2"/>
    <mergeCell ref="G1:H2"/>
    <mergeCell ref="I1:J2"/>
    <mergeCell ref="K1:L2"/>
  </mergeCells>
  <dataValidations count="1">
    <dataValidation allowBlank="1" showInputMessage="1" showErrorMessage="1" prompt="Registre las actividades macro que se requieren para cumplir las metas" sqref="C8:D10" xr:uid="{D21EB95C-8DF4-4A6C-8EBC-A784C2E3F918}"/>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F9"/>
  <sheetViews>
    <sheetView tabSelected="1" zoomScale="77" zoomScaleNormal="77" workbookViewId="0">
      <selection activeCell="E6" sqref="E6"/>
    </sheetView>
  </sheetViews>
  <sheetFormatPr baseColWidth="10" defaultRowHeight="15" x14ac:dyDescent="0.25"/>
  <cols>
    <col min="1" max="1" width="21.5703125" customWidth="1"/>
    <col min="2" max="2" width="50.85546875" customWidth="1"/>
    <col min="3" max="3" width="31.7109375" customWidth="1"/>
    <col min="4" max="4" width="22.140625" customWidth="1"/>
    <col min="5" max="5" width="18.7109375" customWidth="1"/>
    <col min="6" max="6" width="17.7109375" customWidth="1"/>
  </cols>
  <sheetData>
    <row r="1" spans="1:6" ht="27.75" customHeight="1" x14ac:dyDescent="0.25">
      <c r="A1" s="520" t="s">
        <v>233</v>
      </c>
      <c r="B1" s="521"/>
      <c r="C1" s="305" t="s">
        <v>234</v>
      </c>
      <c r="D1" s="305" t="s">
        <v>257</v>
      </c>
      <c r="E1" s="305" t="s">
        <v>258</v>
      </c>
      <c r="F1" s="305" t="s">
        <v>259</v>
      </c>
    </row>
    <row r="2" spans="1:6" ht="78" customHeight="1" x14ac:dyDescent="0.25">
      <c r="A2" s="300" t="s">
        <v>235</v>
      </c>
      <c r="B2" s="300" t="s">
        <v>19</v>
      </c>
      <c r="C2" s="301">
        <v>0.75</v>
      </c>
      <c r="D2" s="307">
        <v>1</v>
      </c>
      <c r="E2" s="307">
        <f t="shared" ref="E2:E8" si="0">D2-C2</f>
        <v>0.25</v>
      </c>
      <c r="F2" s="308"/>
    </row>
    <row r="3" spans="1:6" ht="78" customHeight="1" x14ac:dyDescent="0.25">
      <c r="A3" s="300" t="s">
        <v>236</v>
      </c>
      <c r="B3" s="302" t="s">
        <v>256</v>
      </c>
      <c r="C3" s="301">
        <v>0.86</v>
      </c>
      <c r="D3" s="307">
        <v>1</v>
      </c>
      <c r="E3" s="307">
        <f t="shared" si="0"/>
        <v>0.14000000000000001</v>
      </c>
      <c r="F3" s="308"/>
    </row>
    <row r="4" spans="1:6" ht="78" customHeight="1" x14ac:dyDescent="0.25">
      <c r="A4" s="300" t="s">
        <v>237</v>
      </c>
      <c r="B4" s="303" t="s">
        <v>24</v>
      </c>
      <c r="C4" s="301">
        <v>0.76</v>
      </c>
      <c r="D4" s="307">
        <v>1</v>
      </c>
      <c r="E4" s="307">
        <f t="shared" si="0"/>
        <v>0.24</v>
      </c>
      <c r="F4" s="308"/>
    </row>
    <row r="5" spans="1:6" ht="78" customHeight="1" x14ac:dyDescent="0.25">
      <c r="A5" s="300" t="s">
        <v>238</v>
      </c>
      <c r="B5" s="303" t="s">
        <v>0</v>
      </c>
      <c r="C5" s="304">
        <v>0.67</v>
      </c>
      <c r="D5" s="307">
        <v>1</v>
      </c>
      <c r="E5" s="307">
        <f t="shared" si="0"/>
        <v>0.32999999999999996</v>
      </c>
      <c r="F5" s="308"/>
    </row>
    <row r="6" spans="1:6" ht="78" customHeight="1" x14ac:dyDescent="0.25">
      <c r="A6" s="300" t="s">
        <v>239</v>
      </c>
      <c r="B6" s="303" t="s">
        <v>26</v>
      </c>
      <c r="C6" s="301">
        <v>0.61</v>
      </c>
      <c r="D6" s="307">
        <v>1</v>
      </c>
      <c r="E6" s="307">
        <f t="shared" si="0"/>
        <v>0.39</v>
      </c>
      <c r="F6" s="308"/>
    </row>
    <row r="7" spans="1:6" ht="78" customHeight="1" x14ac:dyDescent="0.25">
      <c r="A7" s="300" t="s">
        <v>240</v>
      </c>
      <c r="B7" s="303" t="s">
        <v>255</v>
      </c>
      <c r="C7" s="304">
        <v>0.66</v>
      </c>
      <c r="D7" s="307">
        <v>1</v>
      </c>
      <c r="E7" s="307">
        <f t="shared" si="0"/>
        <v>0.33999999999999997</v>
      </c>
      <c r="F7" s="308"/>
    </row>
    <row r="8" spans="1:6" ht="78" customHeight="1" x14ac:dyDescent="0.25">
      <c r="A8" s="300" t="s">
        <v>241</v>
      </c>
      <c r="B8" s="303" t="s">
        <v>1</v>
      </c>
      <c r="C8" s="301">
        <v>0.75</v>
      </c>
      <c r="D8" s="307">
        <v>1</v>
      </c>
      <c r="E8" s="307">
        <f t="shared" si="0"/>
        <v>0.25</v>
      </c>
      <c r="F8" s="308"/>
    </row>
    <row r="9" spans="1:6" x14ac:dyDescent="0.25">
      <c r="D9" s="294"/>
    </row>
  </sheetData>
  <sheetProtection algorithmName="SHA-512" hashValue="BC2Xi5//WQFSGNR9USEwKF9rsRwIOZh5Nvr46UlRFQvZpAgxxur0k+uw8wCycIJu9Jt9QVQNu1ZsUY4ca1ThZg==" saltValue="jwHrJT/Td+ym2wLGaRMgWg==" spinCount="100000" sheet="1" objects="1" scenarios="1"/>
  <mergeCells count="1">
    <mergeCell ref="A1:B1"/>
  </mergeCells>
  <phoneticPr fontId="4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Plan Estratégico Institucio (2)</vt:lpstr>
      <vt:lpstr>Plan Estratégico Institucio (3)</vt:lpstr>
      <vt:lpstr>Hoja2</vt:lpstr>
      <vt:lpstr>Hoja1</vt:lpstr>
      <vt:lpstr>Plan Estratégico Institucional</vt:lpstr>
      <vt:lpstr>Hoja5</vt:lpstr>
      <vt:lpstr>OBJ ESTR</vt:lpstr>
      <vt:lpstr>Cumplimiento Metas Estrategicas</vt:lpstr>
      <vt:lpstr>Grado Cumplimiento Objetivos</vt:lpstr>
      <vt:lpstr>Analisis</vt:lpstr>
      <vt:lpstr>Objetivo 1</vt:lpstr>
      <vt:lpstr>Objetivo 2</vt:lpstr>
      <vt:lpstr>Objetivo 3</vt:lpstr>
      <vt:lpstr>Objetivo 4</vt:lpstr>
      <vt:lpstr>Objetivo 5</vt:lpstr>
      <vt:lpstr>Objetivo 6 (2)</vt:lpstr>
      <vt:lpstr>Objetivo 7</vt:lpstr>
      <vt:lpstr>Hoja3</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2021-05-18T13:36:27Z</cp:lastPrinted>
  <dcterms:created xsi:type="dcterms:W3CDTF">2021-05-03T00:16:26Z</dcterms:created>
  <dcterms:modified xsi:type="dcterms:W3CDTF">2021-12-10T14:09:59Z</dcterms:modified>
</cp:coreProperties>
</file>